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Default Extension="vml" ContentType="application/vnd.openxmlformats-officedocument.vmlDrawing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7145" yWindow="65461" windowWidth="20730" windowHeight="11760" activeTab="0"/>
  </bookViews>
  <sheets>
    <sheet name="Люб. Парная тяга" sheetId="1" r:id="rId1"/>
    <sheet name="Люб. народная тяга 1 вес" sheetId="2" r:id="rId2"/>
    <sheet name="Люб. русская тяга 100" sheetId="3" r:id="rId3"/>
    <sheet name="Люб. народный жим 1 вес" sheetId="4" r:id="rId4"/>
    <sheet name="Люб. народный жим 1_2 вес" sheetId="5" r:id="rId5"/>
    <sheet name="Проф. народный жим 1 вес" sheetId="6" r:id="rId6"/>
    <sheet name="РЖ Проф 100 кг." sheetId="7" r:id="rId7"/>
    <sheet name="РЖ любители 55 кг." sheetId="8" r:id="rId8"/>
    <sheet name="РЖ любители 75 кг." sheetId="9" r:id="rId9"/>
    <sheet name="Сил. двоеборье" sheetId="10" r:id="rId10"/>
    <sheet name="Люб. тяга софт экип." sheetId="11" r:id="rId11"/>
    <sheet name="Люб. тяга 1.слой" sheetId="12" r:id="rId12"/>
    <sheet name="Люб. тяга б.э." sheetId="13" r:id="rId13"/>
    <sheet name="ПРО тяга б.э." sheetId="14" r:id="rId14"/>
    <sheet name="СОВ тяга" sheetId="15" r:id="rId15"/>
    <sheet name="Люб. жим софт экип." sheetId="16" r:id="rId16"/>
    <sheet name="Люб. жим 1.слой" sheetId="17" r:id="rId17"/>
    <sheet name="ПРО жим 1.слой" sheetId="18" r:id="rId18"/>
    <sheet name="Люб. жим б.э." sheetId="19" r:id="rId19"/>
    <sheet name="СОВ жим" sheetId="20" r:id="rId20"/>
    <sheet name="ПРО жим б.э." sheetId="21" r:id="rId21"/>
  </sheets>
  <definedNames/>
  <calcPr fullCalcOnLoad="1"/>
</workbook>
</file>

<file path=xl/sharedStrings.xml><?xml version="1.0" encoding="utf-8"?>
<sst xmlns="http://schemas.openxmlformats.org/spreadsheetml/2006/main" count="2157" uniqueCount="648">
  <si>
    <t>ФИО</t>
  </si>
  <si>
    <t>Жим</t>
  </si>
  <si>
    <t>Тяга</t>
  </si>
  <si>
    <t>Тренер</t>
  </si>
  <si>
    <t>Очки</t>
  </si>
  <si>
    <t>Команда</t>
  </si>
  <si>
    <t>Рек</t>
  </si>
  <si>
    <t>Возрастная группа
Дата рождения/Возраст</t>
  </si>
  <si>
    <t>Собственный 
Вес</t>
  </si>
  <si>
    <t>Город/Область</t>
  </si>
  <si>
    <t>"Кубок ЦФО" по жиму лежа, становой тяге и силовым видам спорта.
СОВ жим лежа
Курск/Курская область 28 - 29 июля 2018 г.</t>
  </si>
  <si>
    <t>Shv/Mel</t>
  </si>
  <si>
    <t>ВЕСОВАЯ КАТЕГОРИЯ   56</t>
  </si>
  <si>
    <t>Саласина Елизавета</t>
  </si>
  <si>
    <t>1. Саласина Елизавета</t>
  </si>
  <si>
    <t>Девушки 16 - 17 (28.12.2001)/16</t>
  </si>
  <si>
    <t>55,40</t>
  </si>
  <si>
    <t xml:space="preserve">лично </t>
  </si>
  <si>
    <t xml:space="preserve">Курск/Курская область </t>
  </si>
  <si>
    <t>60,0</t>
  </si>
  <si>
    <t>67,5</t>
  </si>
  <si>
    <t xml:space="preserve"> </t>
  </si>
  <si>
    <t>ВЕСОВАЯ КАТЕГОРИЯ   82.5</t>
  </si>
  <si>
    <t>Новиков Денис</t>
  </si>
  <si>
    <t>1. Новиков Денис</t>
  </si>
  <si>
    <t>Юниоры 20 - 23 (25.09.1997)/20</t>
  </si>
  <si>
    <t>80,00</t>
  </si>
  <si>
    <t>110,0</t>
  </si>
  <si>
    <t>117,5</t>
  </si>
  <si>
    <t>Акатов Игорь</t>
  </si>
  <si>
    <t>1. Акатов Игорь</t>
  </si>
  <si>
    <t>Мастера 55 - 59 (02.11.1960)/57</t>
  </si>
  <si>
    <t>80,60</t>
  </si>
  <si>
    <t>100,0</t>
  </si>
  <si>
    <t>102,5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</si>
  <si>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</si>
  <si>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</si>
  <si>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</si>
  <si>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</si>
  <si>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</si>
  <si>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</si>
  <si>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Женщины </t>
  </si>
  <si>
    <t xml:space="preserve">Девушки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</si>
  <si>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</si>
  <si>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</si>
  <si>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</si>
  <si>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</si>
  <si>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</si>
  <si>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 xml:space="preserve">Юноши 16 - 17 </t>
  </si>
  <si>
    <t>56,0</t>
  </si>
  <si>
    <t>62,3828</t>
  </si>
  <si>
    <t xml:space="preserve">Мужчины </t>
  </si>
  <si>
    <t xml:space="preserve">Юниоры </t>
  </si>
  <si>
    <t xml:space="preserve">Юниоры 20 - 23 </t>
  </si>
  <si>
    <t>82,5</t>
  </si>
  <si>
    <t>71,7076</t>
  </si>
  <si>
    <t xml:space="preserve">Мастера </t>
  </si>
  <si>
    <t xml:space="preserve">Мастера 55 - 59 </t>
  </si>
  <si>
    <t>93,1660</t>
  </si>
  <si>
    <t>Результат</t>
  </si>
  <si>
    <t>"Кубок ЦФО" по жиму лежа, становой тяге и силовым видам спорта.
ПРО жим лежа без экипировки
Курск/Курская область 28 - 29 июля 2018 г.</t>
  </si>
  <si>
    <t>ВЕСОВАЯ КАТЕГОРИЯ   67.5</t>
  </si>
  <si>
    <t>Дудин Андрей</t>
  </si>
  <si>
    <t>1. Дудин Андрей</t>
  </si>
  <si>
    <t>Открытая (27.02.1994)/24</t>
  </si>
  <si>
    <t>67,10</t>
  </si>
  <si>
    <t xml:space="preserve">Орёл/Орловская область </t>
  </si>
  <si>
    <t>125,0</t>
  </si>
  <si>
    <t>130,0</t>
  </si>
  <si>
    <t>135,0</t>
  </si>
  <si>
    <t>ВЕСОВАЯ КАТЕГОРИЯ   75</t>
  </si>
  <si>
    <t>Кильдюшев Андрей</t>
  </si>
  <si>
    <t>1. Кильдюшев Андрей</t>
  </si>
  <si>
    <t>Открытая (04.08.1988)/29</t>
  </si>
  <si>
    <t>75,00</t>
  </si>
  <si>
    <t xml:space="preserve">Олимп </t>
  </si>
  <si>
    <t xml:space="preserve">Строитель/Белгородская область </t>
  </si>
  <si>
    <t>150,0</t>
  </si>
  <si>
    <t>ВЕСОВАЯ КАТЕГОРИЯ   100</t>
  </si>
  <si>
    <t>Кондаков Алексей</t>
  </si>
  <si>
    <t>1. Кондаков Алексей</t>
  </si>
  <si>
    <t>Открытая (22.07.1970)/48</t>
  </si>
  <si>
    <t>91,30</t>
  </si>
  <si>
    <t xml:space="preserve">Москва </t>
  </si>
  <si>
    <t>160,0</t>
  </si>
  <si>
    <t>172,5</t>
  </si>
  <si>
    <t>Мастера 45 - 49 (22.07.1970)/48</t>
  </si>
  <si>
    <t>ВЕСОВАЯ КАТЕГОРИЯ   125</t>
  </si>
  <si>
    <t>Половков Михаил</t>
  </si>
  <si>
    <t>1. Половков Михаил</t>
  </si>
  <si>
    <t>Мастера 40 - 44 (09.10.1977)/40</t>
  </si>
  <si>
    <t>113,40</t>
  </si>
  <si>
    <t xml:space="preserve">Курчатов/Курская область </t>
  </si>
  <si>
    <t>175,0</t>
  </si>
  <si>
    <t>182,5</t>
  </si>
  <si>
    <t>195,0</t>
  </si>
  <si>
    <t xml:space="preserve">Открытая </t>
  </si>
  <si>
    <t>75,0</t>
  </si>
  <si>
    <t>99,6750</t>
  </si>
  <si>
    <t>98,5095</t>
  </si>
  <si>
    <t>92,8640</t>
  </si>
  <si>
    <t xml:space="preserve">Мастера 40 - 44 </t>
  </si>
  <si>
    <t>103,8960</t>
  </si>
  <si>
    <t xml:space="preserve">Мастера 45 - 49 </t>
  </si>
  <si>
    <t>103,7291</t>
  </si>
  <si>
    <t>"Кубок ЦФО" по жиму лежа, становой тяге и силовым видам спорта.
Любители жим лежа без экипировки
Курск/Курская область 28 - 29 июля 2018 г.</t>
  </si>
  <si>
    <t>ВЕСОВАЯ КАТЕГОРИЯ   52</t>
  </si>
  <si>
    <t>Осадько Елизавета</t>
  </si>
  <si>
    <t>1. Осадько Елизавета</t>
  </si>
  <si>
    <t>Девушки 14 - 15 (29.10.2003)/14</t>
  </si>
  <si>
    <t>50,60</t>
  </si>
  <si>
    <t xml:space="preserve">Авалон </t>
  </si>
  <si>
    <t>30,0</t>
  </si>
  <si>
    <t>35,0</t>
  </si>
  <si>
    <t>40,0</t>
  </si>
  <si>
    <t>Бахтина Алина</t>
  </si>
  <si>
    <t>1. Бахтина Алина</t>
  </si>
  <si>
    <t>Открытая (10.06.1985)/33</t>
  </si>
  <si>
    <t>50,80</t>
  </si>
  <si>
    <t>50,0</t>
  </si>
  <si>
    <t>52,5</t>
  </si>
  <si>
    <t xml:space="preserve">Локтионова </t>
  </si>
  <si>
    <t>Басова Мария</t>
  </si>
  <si>
    <t>1. Басова Мария</t>
  </si>
  <si>
    <t>Девушки 16 - 17 (08.01.2002)/16</t>
  </si>
  <si>
    <t>54,60</t>
  </si>
  <si>
    <t>55,0</t>
  </si>
  <si>
    <t>ВЕСОВАЯ КАТЕГОРИЯ   60</t>
  </si>
  <si>
    <t>Буханцева Ирина</t>
  </si>
  <si>
    <t>1. Буханцева Ирина</t>
  </si>
  <si>
    <t>Мастера 45 - 49 (24.11.1971)/46</t>
  </si>
  <si>
    <t>58,10</t>
  </si>
  <si>
    <t>45,0</t>
  </si>
  <si>
    <t>Швецова Марина</t>
  </si>
  <si>
    <t>1. Швецова Марина</t>
  </si>
  <si>
    <t>Девушки 18 - 19 (25.11.1998)/19</t>
  </si>
  <si>
    <t>62,50</t>
  </si>
  <si>
    <t>Платонов Владимир</t>
  </si>
  <si>
    <t>1. Платонов Владимир</t>
  </si>
  <si>
    <t>Открытая (12.09.1984)/33</t>
  </si>
  <si>
    <t>58,80</t>
  </si>
  <si>
    <t xml:space="preserve">Сталь </t>
  </si>
  <si>
    <t xml:space="preserve">Брянск/Брянская область </t>
  </si>
  <si>
    <t>90,0</t>
  </si>
  <si>
    <t xml:space="preserve">Шерман Д. В. </t>
  </si>
  <si>
    <t>Володько Александр</t>
  </si>
  <si>
    <t>1. Володько Александр</t>
  </si>
  <si>
    <t>Открытая (12.07.1980)/38</t>
  </si>
  <si>
    <t>72,80</t>
  </si>
  <si>
    <t xml:space="preserve">Белгород/Белгородская область </t>
  </si>
  <si>
    <t>132,5</t>
  </si>
  <si>
    <t>Мосин Сергей</t>
  </si>
  <si>
    <t>2. Мосин Сергей</t>
  </si>
  <si>
    <t>Открытая (22.04.1991)/27</t>
  </si>
  <si>
    <t>73,20</t>
  </si>
  <si>
    <t>Амелин Игорь</t>
  </si>
  <si>
    <t>1. Амелин Игорь</t>
  </si>
  <si>
    <t>Мастера 40 - 44 (22.07.1975)/43</t>
  </si>
  <si>
    <t>137,5</t>
  </si>
  <si>
    <t>142,5</t>
  </si>
  <si>
    <t>Ткаченко Дмитрий</t>
  </si>
  <si>
    <t>1. Ткаченко Дмитрий</t>
  </si>
  <si>
    <t>Юниоры 20 - 23 (25.02.1996)/22</t>
  </si>
  <si>
    <t>78,30</t>
  </si>
  <si>
    <t>122,5</t>
  </si>
  <si>
    <t>Глазов Константин</t>
  </si>
  <si>
    <t>1. Глазов Константин</t>
  </si>
  <si>
    <t>Открытая (28.11.1980)/37</t>
  </si>
  <si>
    <t>ВЕСОВАЯ КАТЕГОРИЯ   90</t>
  </si>
  <si>
    <t>Обухов Игорь</t>
  </si>
  <si>
    <t>1. Обухов Игорь</t>
  </si>
  <si>
    <t>Открытая (07.11.1990)/27</t>
  </si>
  <si>
    <t>88,10</t>
  </si>
  <si>
    <t>155,0</t>
  </si>
  <si>
    <t>Ковальков Евгений</t>
  </si>
  <si>
    <t>2. Ковальков Евгений</t>
  </si>
  <si>
    <t>Открытая (25.12.1984)/33</t>
  </si>
  <si>
    <t>88,60</t>
  </si>
  <si>
    <t xml:space="preserve">Изо всех сил </t>
  </si>
  <si>
    <t>145,0</t>
  </si>
  <si>
    <t>152,5</t>
  </si>
  <si>
    <t>Лашкевич Евгений</t>
  </si>
  <si>
    <t>3. Лашкевич Евгений</t>
  </si>
  <si>
    <t>Открытая (22.06.1988)/30</t>
  </si>
  <si>
    <t>87,60</t>
  </si>
  <si>
    <t>Фирсов Андрей</t>
  </si>
  <si>
    <t>4. Фирсов Андрей</t>
  </si>
  <si>
    <t>Открытая (06.08.1985)/32</t>
  </si>
  <si>
    <t>88,40</t>
  </si>
  <si>
    <t>Березин Андрей</t>
  </si>
  <si>
    <t>1. Березин Андрей</t>
  </si>
  <si>
    <t>Мастера 40 - 44 (10.02.1975)/43</t>
  </si>
  <si>
    <t>86,60</t>
  </si>
  <si>
    <t>140,0</t>
  </si>
  <si>
    <t>Мотинов Алексей</t>
  </si>
  <si>
    <t>1. Мотинов Алексей</t>
  </si>
  <si>
    <t>Открытая (06.11.1989)/28</t>
  </si>
  <si>
    <t>95,40</t>
  </si>
  <si>
    <t>165,0</t>
  </si>
  <si>
    <t>180,0</t>
  </si>
  <si>
    <t>Атменеев Виталий</t>
  </si>
  <si>
    <t>2. Атменеев Виталий</t>
  </si>
  <si>
    <t>Открытая (06.11.1986)/31</t>
  </si>
  <si>
    <t>97,20</t>
  </si>
  <si>
    <t>Криштапов Иван</t>
  </si>
  <si>
    <t>3. Криштапов Иван</t>
  </si>
  <si>
    <t>Открытая (14.06.1993)/25</t>
  </si>
  <si>
    <t>96,50</t>
  </si>
  <si>
    <t>152,0</t>
  </si>
  <si>
    <t>157,5</t>
  </si>
  <si>
    <t>162,5</t>
  </si>
  <si>
    <t>Петров Андрей</t>
  </si>
  <si>
    <t>1. Петров Андрей</t>
  </si>
  <si>
    <t>Мастера 40 - 44 (18.05.1975)/43</t>
  </si>
  <si>
    <t>98,15</t>
  </si>
  <si>
    <t>ВЕСОВАЯ КАТЕГОРИЯ   110</t>
  </si>
  <si>
    <t>Буханцев Павел</t>
  </si>
  <si>
    <t>1. Буханцев Павел</t>
  </si>
  <si>
    <t>Открытая (02.08.1969)/48</t>
  </si>
  <si>
    <t>107,30</t>
  </si>
  <si>
    <t>167,5</t>
  </si>
  <si>
    <t>Тихонов Андрей</t>
  </si>
  <si>
    <t>2. Тихонов Андрей</t>
  </si>
  <si>
    <t>Открытая (08.11.1980)/37</t>
  </si>
  <si>
    <t>105,80</t>
  </si>
  <si>
    <t>Мастера 45 - 49 (02.08.1969)/48</t>
  </si>
  <si>
    <t>Яковлев Дмитрий</t>
  </si>
  <si>
    <t>1. Яковлев Дмитрий</t>
  </si>
  <si>
    <t>Мастера 40 - 44 (02.02.1978)/40</t>
  </si>
  <si>
    <t>111,00</t>
  </si>
  <si>
    <t>170,0</t>
  </si>
  <si>
    <t>177,5</t>
  </si>
  <si>
    <t>55,2434</t>
  </si>
  <si>
    <t xml:space="preserve">Юноши 14 - 15 </t>
  </si>
  <si>
    <t>52,0</t>
  </si>
  <si>
    <t>42,6690</t>
  </si>
  <si>
    <t xml:space="preserve">Юноши 18 - 19 </t>
  </si>
  <si>
    <t>38,9306</t>
  </si>
  <si>
    <t>49,4000</t>
  </si>
  <si>
    <t>47,2739</t>
  </si>
  <si>
    <t>84,4259</t>
  </si>
  <si>
    <t>101,9880</t>
  </si>
  <si>
    <t>101,0340</t>
  </si>
  <si>
    <t>94,2013</t>
  </si>
  <si>
    <t>93,1672</t>
  </si>
  <si>
    <t>91,9150</t>
  </si>
  <si>
    <t>91,6050</t>
  </si>
  <si>
    <t>90,8520</t>
  </si>
  <si>
    <t>88,7198</t>
  </si>
  <si>
    <t>88,4650</t>
  </si>
  <si>
    <t>86,3040</t>
  </si>
  <si>
    <t>74,7090</t>
  </si>
  <si>
    <t>73,9750</t>
  </si>
  <si>
    <t>67,7400</t>
  </si>
  <si>
    <t>104,0678</t>
  </si>
  <si>
    <t>95,0158</t>
  </si>
  <si>
    <t>94,8191</t>
  </si>
  <si>
    <t>82,3893</t>
  </si>
  <si>
    <t>71,1009</t>
  </si>
  <si>
    <t>"Кубок ЦФО" по жиму лежа, становой тяге и силовым видам спорта.
ПРО жим лежа в однослойной экипировке
Курск/Курская область 28 - 29 июля 2018 г.</t>
  </si>
  <si>
    <t>Гостева Валентина</t>
  </si>
  <si>
    <t>1. Гостева Валентина</t>
  </si>
  <si>
    <t>Мастера 60 - 64 (07.08.1955)/62</t>
  </si>
  <si>
    <t>55,20</t>
  </si>
  <si>
    <t>77,5</t>
  </si>
  <si>
    <t>87,5</t>
  </si>
  <si>
    <t xml:space="preserve">Мастера 60 - 64 </t>
  </si>
  <si>
    <t>141,7152</t>
  </si>
  <si>
    <t>"Кубок ЦФО" по жиму лежа, становой тяге и силовым видам спорта.
Любители жим лежа в однослойной экипировке
Курск/Курская область 28 - 29 июля 2018 г.</t>
  </si>
  <si>
    <t>Огурцова Юлия</t>
  </si>
  <si>
    <t>1. Огурцова Юлия</t>
  </si>
  <si>
    <t>Открытая (28.06.1990)/28</t>
  </si>
  <si>
    <t>49,00</t>
  </si>
  <si>
    <t xml:space="preserve">Медведь </t>
  </si>
  <si>
    <t>70,0</t>
  </si>
  <si>
    <t>71,2145</t>
  </si>
  <si>
    <t>"Кубок ЦФО" по жиму лежа, становой тяге и силовым видам спорта.
Любители жим лежа в софт экипировке
Курск/Курская область 28 - 29 июля 2018 г.</t>
  </si>
  <si>
    <t>Долгополова Юлия</t>
  </si>
  <si>
    <t>1. Долгополова Юлия</t>
  </si>
  <si>
    <t>Открытая (29.01.1988)/30</t>
  </si>
  <si>
    <t>57,90</t>
  </si>
  <si>
    <t>Бурков Юрий</t>
  </si>
  <si>
    <t>1. Бурков Юрий</t>
  </si>
  <si>
    <t>Открытая (03.06.1991)/27</t>
  </si>
  <si>
    <t>66,40</t>
  </si>
  <si>
    <t xml:space="preserve">Курская область </t>
  </si>
  <si>
    <t>120,0</t>
  </si>
  <si>
    <t>127,5</t>
  </si>
  <si>
    <t>Симкин Александр</t>
  </si>
  <si>
    <t>1. Симкин Александр</t>
  </si>
  <si>
    <t>Юниоры 20 - 23 (13.12.1995)/22</t>
  </si>
  <si>
    <t>72,60</t>
  </si>
  <si>
    <t>Карпачев Андрей</t>
  </si>
  <si>
    <t>1. Карпачев Андрей</t>
  </si>
  <si>
    <t>Открытая (26.02.1986)/32</t>
  </si>
  <si>
    <t>220,0</t>
  </si>
  <si>
    <t>230,0</t>
  </si>
  <si>
    <t>Калакуцкий Руслан</t>
  </si>
  <si>
    <t>Открытая (22.04.1979)/39</t>
  </si>
  <si>
    <t>96,60</t>
  </si>
  <si>
    <t>240,0</t>
  </si>
  <si>
    <t>Карпачев Михаил</t>
  </si>
  <si>
    <t>Открытая (11.11.1959)/58</t>
  </si>
  <si>
    <t>97,70</t>
  </si>
  <si>
    <t>1. Карпачев Михаил</t>
  </si>
  <si>
    <t>Мастера 55 - 59 (11.11.1959)/58</t>
  </si>
  <si>
    <t>Виноходов Сергей</t>
  </si>
  <si>
    <t>1. Виноходов Сергей</t>
  </si>
  <si>
    <t>Открытая (17.09.1982)/35</t>
  </si>
  <si>
    <t>122,70</t>
  </si>
  <si>
    <t>217,5</t>
  </si>
  <si>
    <t>227,5</t>
  </si>
  <si>
    <t>232,5</t>
  </si>
  <si>
    <t>62,0865</t>
  </si>
  <si>
    <t>123,9876</t>
  </si>
  <si>
    <t>136,3900</t>
  </si>
  <si>
    <t>129,4900</t>
  </si>
  <si>
    <t>121,8533</t>
  </si>
  <si>
    <t>99,4545</t>
  </si>
  <si>
    <t>146,1059</t>
  </si>
  <si>
    <t>"Кубок ЦФО" по жиму лежа, становой тяге и силовым видам спорта.
СОВ становая тяга
Курск/Курская область 28 - 29 июля 2018 г.</t>
  </si>
  <si>
    <t>200,0</t>
  </si>
  <si>
    <t>212,5</t>
  </si>
  <si>
    <t>130,3774</t>
  </si>
  <si>
    <t>"Кубок ЦФО" по жиму лежа, становой тяге и силовым видам спорта.
ПРО становая тяга без экипировки
Курск/Курская область 28 - 29 июля 2018 г.</t>
  </si>
  <si>
    <t>Ляшенко Алена</t>
  </si>
  <si>
    <t>1. Ляшенко Алена</t>
  </si>
  <si>
    <t>Открытая (09.05.1983)/35</t>
  </si>
  <si>
    <t>59,90</t>
  </si>
  <si>
    <t>Мотайло Дмитрий</t>
  </si>
  <si>
    <t>1. Мотайло Дмитрий</t>
  </si>
  <si>
    <t>Открытая (06.06.1985)/33</t>
  </si>
  <si>
    <t>95,20</t>
  </si>
  <si>
    <t>250,0</t>
  </si>
  <si>
    <t>260,0</t>
  </si>
  <si>
    <t>Меркулов Виталий</t>
  </si>
  <si>
    <t>1. Меркулов Виталий</t>
  </si>
  <si>
    <t>Открытая (11.06.1990)/28</t>
  </si>
  <si>
    <t>106,50</t>
  </si>
  <si>
    <t>265,0</t>
  </si>
  <si>
    <t>275,0</t>
  </si>
  <si>
    <t>282,5</t>
  </si>
  <si>
    <t>120,7010</t>
  </si>
  <si>
    <t>152,9172</t>
  </si>
  <si>
    <t>147,4720</t>
  </si>
  <si>
    <t>"Кубок ЦФО" по жиму лежа, становой тяге и силовым видам спорта.
Любители становая тяга без экипировки
Курск/Курская область 28 - 29 июля 2018 г.</t>
  </si>
  <si>
    <t>ВЕСОВАЯ КАТЕГОРИЯ   44</t>
  </si>
  <si>
    <t>Литинская Софья</t>
  </si>
  <si>
    <t>1. Литинская Софья</t>
  </si>
  <si>
    <t>Девушки 14 - 15 (08.09.2003)/14</t>
  </si>
  <si>
    <t>44,00</t>
  </si>
  <si>
    <t>107,5</t>
  </si>
  <si>
    <t>112,5</t>
  </si>
  <si>
    <t>Руднева Марина</t>
  </si>
  <si>
    <t>2. Руднева Марина</t>
  </si>
  <si>
    <t>Открытая (26.07.1990)/28</t>
  </si>
  <si>
    <t>50,30</t>
  </si>
  <si>
    <t>80,0</t>
  </si>
  <si>
    <t>Николаевская Олеся</t>
  </si>
  <si>
    <t>1. Николаевская Олеся</t>
  </si>
  <si>
    <t>Открытая (26.05.1982)/36</t>
  </si>
  <si>
    <t>53,50</t>
  </si>
  <si>
    <t>85,0</t>
  </si>
  <si>
    <t>95,0</t>
  </si>
  <si>
    <t>Бычкова Екатерина</t>
  </si>
  <si>
    <t>1. Бычкова Екатерина</t>
  </si>
  <si>
    <t>Девушки 18 - 19 (14.10.1999)/18</t>
  </si>
  <si>
    <t>58,90</t>
  </si>
  <si>
    <t>Мясоедова Алина</t>
  </si>
  <si>
    <t>1. Мясоедова Алина</t>
  </si>
  <si>
    <t>Открытая (29.06.1988)/30</t>
  </si>
  <si>
    <t>58,60</t>
  </si>
  <si>
    <t>105,0</t>
  </si>
  <si>
    <t>Шумакова Екатерина</t>
  </si>
  <si>
    <t>1. Шумакова Екатерина</t>
  </si>
  <si>
    <t>Девушки 14 - 15 (25.05.2003)/15</t>
  </si>
  <si>
    <t>65,00</t>
  </si>
  <si>
    <t>115,0</t>
  </si>
  <si>
    <t>Хващинская Ирина</t>
  </si>
  <si>
    <t>1. Хващинская Ирина</t>
  </si>
  <si>
    <t>Мастера 45 - 49 (13.11.1971)/46</t>
  </si>
  <si>
    <t>62,10</t>
  </si>
  <si>
    <t>97,5</t>
  </si>
  <si>
    <t>Лепин Никита</t>
  </si>
  <si>
    <t>1. Лепин Никита</t>
  </si>
  <si>
    <t>Юноши 16 - 17 (06.02.2002)/16</t>
  </si>
  <si>
    <t>63,60</t>
  </si>
  <si>
    <t>147,5</t>
  </si>
  <si>
    <t>Даржай Шолбан</t>
  </si>
  <si>
    <t>1. Даржай Шолбан</t>
  </si>
  <si>
    <t>Открытая (16.05.1986)/32</t>
  </si>
  <si>
    <t>67,20</t>
  </si>
  <si>
    <t>Бирюков Владислав</t>
  </si>
  <si>
    <t>1. Бирюков Владислав</t>
  </si>
  <si>
    <t>Открытая (26.07.1994)/24</t>
  </si>
  <si>
    <t>79,70</t>
  </si>
  <si>
    <t>187,5</t>
  </si>
  <si>
    <t>Безуглов Артем</t>
  </si>
  <si>
    <t>2. Безуглов Артем</t>
  </si>
  <si>
    <t>Открытая (02.08.1986)/31</t>
  </si>
  <si>
    <t>Трофимов Максим</t>
  </si>
  <si>
    <t>3. Трофимов Максим</t>
  </si>
  <si>
    <t>Открытая (19.04.1994)/24</t>
  </si>
  <si>
    <t>80,75</t>
  </si>
  <si>
    <t>Дудинов Александр</t>
  </si>
  <si>
    <t>1. Дудинов Александр</t>
  </si>
  <si>
    <t>Открытая (20.02.1985)/33</t>
  </si>
  <si>
    <t>87,30</t>
  </si>
  <si>
    <t>210,0</t>
  </si>
  <si>
    <t>Карякин Виталий</t>
  </si>
  <si>
    <t>2. Карякин Виталий</t>
  </si>
  <si>
    <t>Открытая (13.06.1985)/33</t>
  </si>
  <si>
    <t>88,55</t>
  </si>
  <si>
    <t>225,0</t>
  </si>
  <si>
    <t>Лукьянчиков Владимир</t>
  </si>
  <si>
    <t>1. Лукьянчиков Владимир</t>
  </si>
  <si>
    <t>Мастера 55 - 59 (23.12.1959)/58</t>
  </si>
  <si>
    <t>87,10</t>
  </si>
  <si>
    <t>Гусев Александр</t>
  </si>
  <si>
    <t>1. Гусев Александр</t>
  </si>
  <si>
    <t>Открытая (08.08.1973)/44</t>
  </si>
  <si>
    <t>97,00</t>
  </si>
  <si>
    <t>235,0</t>
  </si>
  <si>
    <t>Мастера 40 - 44 (08.08.1973)/44</t>
  </si>
  <si>
    <t>Малышко Андрей</t>
  </si>
  <si>
    <t>2. Малышко Андрей</t>
  </si>
  <si>
    <t>Мастера 40 - 44 (30.03.1978)/40</t>
  </si>
  <si>
    <t>92,10</t>
  </si>
  <si>
    <t>Пастухов Максим</t>
  </si>
  <si>
    <t>3. Пастухов Максим</t>
  </si>
  <si>
    <t>Мастера 40 - 44 (06.09.1976)/41</t>
  </si>
  <si>
    <t>95,00</t>
  </si>
  <si>
    <t xml:space="preserve">Старый Оскол/Белгородская область </t>
  </si>
  <si>
    <t>Волохо Андрей</t>
  </si>
  <si>
    <t>1. Волохо Андрей</t>
  </si>
  <si>
    <t>Открытая (06.07.1975)/43</t>
  </si>
  <si>
    <t>107,00</t>
  </si>
  <si>
    <t>215,0</t>
  </si>
  <si>
    <t>Мастера 40 - 44 (06.07.1975)/43</t>
  </si>
  <si>
    <t>131,5320</t>
  </si>
  <si>
    <t>120,4923</t>
  </si>
  <si>
    <t>113,9455</t>
  </si>
  <si>
    <t>44,0</t>
  </si>
  <si>
    <t>92,0664</t>
  </si>
  <si>
    <t>106,2100</t>
  </si>
  <si>
    <t>103,1826</t>
  </si>
  <si>
    <t>102,0900</t>
  </si>
  <si>
    <t>94,6950</t>
  </si>
  <si>
    <t>98,3523</t>
  </si>
  <si>
    <t xml:space="preserve">Юноши </t>
  </si>
  <si>
    <t>127,8564</t>
  </si>
  <si>
    <t>132,0465</t>
  </si>
  <si>
    <t>125,6662</t>
  </si>
  <si>
    <t>123,8790</t>
  </si>
  <si>
    <t>119,3000</t>
  </si>
  <si>
    <t>119,0063</t>
  </si>
  <si>
    <t>118,2400</t>
  </si>
  <si>
    <t>112,3397</t>
  </si>
  <si>
    <t>106,8790</t>
  </si>
  <si>
    <t>160,4497</t>
  </si>
  <si>
    <t>136,1399</t>
  </si>
  <si>
    <t>132,8250</t>
  </si>
  <si>
    <t>127,9282</t>
  </si>
  <si>
    <t>111,0532</t>
  </si>
  <si>
    <t>"Кубок ЦФО" по жиму лежа, становой тяге и силовым видам спорта.
Любители становая тяга в однослойной экипировке
Курск/Курская область 28 - 29 июля 2018 г.</t>
  </si>
  <si>
    <t>Евдокимов Илья</t>
  </si>
  <si>
    <t>1. Евдокимов Илья</t>
  </si>
  <si>
    <t>Юноши 16 - 17 (03.09.2000)/17</t>
  </si>
  <si>
    <t>98,60</t>
  </si>
  <si>
    <t>245,0</t>
  </si>
  <si>
    <t>252,5</t>
  </si>
  <si>
    <t>147,5145</t>
  </si>
  <si>
    <t>"Кубок ЦФО" по жиму лежа, становой тяге и силовым видам спорта.
Любители становая тяга в софт экипировке
Курск/Курская область 28 - 29 июля 2018 г.</t>
  </si>
  <si>
    <t>106,4340</t>
  </si>
  <si>
    <t>Крузина А.А.</t>
  </si>
  <si>
    <t>Баранова К.В.</t>
  </si>
  <si>
    <t>Коробейников Д.Ю.</t>
  </si>
  <si>
    <t>Немчинов А.Н</t>
  </si>
  <si>
    <t xml:space="preserve">Саласина Е. А </t>
  </si>
  <si>
    <t>Иванов С.С.</t>
  </si>
  <si>
    <t>Мужчины</t>
  </si>
  <si>
    <t>Акулов Владимир</t>
  </si>
  <si>
    <t>182,4350</t>
  </si>
  <si>
    <t>Кравцов Александр</t>
  </si>
  <si>
    <t>172,6545</t>
  </si>
  <si>
    <t>Хулдеев Андрей</t>
  </si>
  <si>
    <t>138,8730</t>
  </si>
  <si>
    <t>310</t>
  </si>
  <si>
    <t>230</t>
  </si>
  <si>
    <t>255</t>
  </si>
  <si>
    <t>ВЕСОВАЯ КАТЕГОРИЯ   67,5</t>
  </si>
  <si>
    <t>Открытая</t>
  </si>
  <si>
    <t>140</t>
  </si>
  <si>
    <t>145</t>
  </si>
  <si>
    <t>100</t>
  </si>
  <si>
    <t>105</t>
  </si>
  <si>
    <t>110</t>
  </si>
  <si>
    <t>125</t>
  </si>
  <si>
    <t>130</t>
  </si>
  <si>
    <t>135</t>
  </si>
  <si>
    <t>95</t>
  </si>
  <si>
    <t>89,2</t>
  </si>
  <si>
    <t>66,6</t>
  </si>
  <si>
    <t>104,5</t>
  </si>
  <si>
    <t>160</t>
  </si>
  <si>
    <t>170</t>
  </si>
  <si>
    <t>175</t>
  </si>
  <si>
    <t>"Кубок ЦФО" по жиму лежа, становой тяге и силовым видам спорта.
Русский жим любители 75 кг.
Курск/Курская область 28 - 29 июля 2018 г.</t>
  </si>
  <si>
    <t>Атлетизм</t>
  </si>
  <si>
    <t>Жим мн. повт.</t>
  </si>
  <si>
    <t>Тоннаж</t>
  </si>
  <si>
    <t>Вес</t>
  </si>
  <si>
    <t>Повторы</t>
  </si>
  <si>
    <t>ВЕСОВАЯ КАТЕГОРИЯ   All</t>
  </si>
  <si>
    <t>1. Мананников Александр</t>
  </si>
  <si>
    <t>Мастера 40 - 49 (18.06.1976)/42</t>
  </si>
  <si>
    <t>79,50</t>
  </si>
  <si>
    <t>25,0</t>
  </si>
  <si>
    <t>2. Севастьянов Алексей</t>
  </si>
  <si>
    <t>Мастера 40 - 49 (25.06.1975)/43</t>
  </si>
  <si>
    <t>19,0</t>
  </si>
  <si>
    <t xml:space="preserve">Атлетизм </t>
  </si>
  <si>
    <t>Мананников Александр</t>
  </si>
  <si>
    <t xml:space="preserve">Мастера 40 - 49 </t>
  </si>
  <si>
    <t>All</t>
  </si>
  <si>
    <t>1875,0</t>
  </si>
  <si>
    <t>23,5849</t>
  </si>
  <si>
    <t>Севастьянов Алексей</t>
  </si>
  <si>
    <t>1425,0</t>
  </si>
  <si>
    <t>18,1992</t>
  </si>
  <si>
    <t>"Кубок ЦФО" по жиму лежа, становой тяге и силовым видам спорта.
Русский жим любители 55 кг.
Курск/Курская область 28 - 29 июля 2018 г.</t>
  </si>
  <si>
    <t>1. Костин Игорь</t>
  </si>
  <si>
    <t>Юниоры 20 - 23 (17.06.1997)/21</t>
  </si>
  <si>
    <t>78,60</t>
  </si>
  <si>
    <t>39,0</t>
  </si>
  <si>
    <t xml:space="preserve">Карякин В. В. </t>
  </si>
  <si>
    <t>Костин Игорь</t>
  </si>
  <si>
    <t>2145,0</t>
  </si>
  <si>
    <t>27,2900</t>
  </si>
  <si>
    <t>"Кубок ЦФО" по жиму лежа, становой тяге и силовым видам спорта.
Русский жим профессионалы 100 кг.
Курск/Курская область 28 - 29 июля 2018 г.</t>
  </si>
  <si>
    <t>1. Санников Александр</t>
  </si>
  <si>
    <t>Открытая (24.04.1981)/37</t>
  </si>
  <si>
    <t>89,40</t>
  </si>
  <si>
    <t xml:space="preserve">Воронеж/Воронежская область </t>
  </si>
  <si>
    <t>15,0</t>
  </si>
  <si>
    <t>Санников Александр</t>
  </si>
  <si>
    <t>1500,0</t>
  </si>
  <si>
    <t>16,7785</t>
  </si>
  <si>
    <t>"Кубок ЦФО" по жиму лежа, становой тяге и силовым видам спорта.
Профессионалы народный жим (1 вес)
Курск/Курская область 28 - 29 июля 2018 г.</t>
  </si>
  <si>
    <t>НАП Н.Ж.</t>
  </si>
  <si>
    <t>20,0</t>
  </si>
  <si>
    <t xml:space="preserve">НАП Н.Ж. </t>
  </si>
  <si>
    <t>1800,0</t>
  </si>
  <si>
    <t>1293,3000</t>
  </si>
  <si>
    <t>"Кубок ЦФО" по жиму лежа, становой тяге и силовым видам спорта.
Любители народный жим (1/2 вес)
Курск/Курская область 28 - 29 июля 2018 г.</t>
  </si>
  <si>
    <t>42,0</t>
  </si>
  <si>
    <t>1260,0</t>
  </si>
  <si>
    <t>1178,7300</t>
  </si>
  <si>
    <t>"Кубок ЦФО" по жиму лежа, становой тяге и силовым видам спорта.
Любители народный жим (1 вес)
Курск/Курская область 28 - 29 июля 2018 г.</t>
  </si>
  <si>
    <t>1. Ботоговский Игорь</t>
  </si>
  <si>
    <t>Открытая (11.07.1990)/28</t>
  </si>
  <si>
    <t>70,80</t>
  </si>
  <si>
    <t>72,5</t>
  </si>
  <si>
    <t>26,0</t>
  </si>
  <si>
    <t>Ботоговский Игорь</t>
  </si>
  <si>
    <t>1885,0</t>
  </si>
  <si>
    <t>1571,5245</t>
  </si>
  <si>
    <t>"Кубок ЦФО" по жиму лежа, становой тяге и силовым видам спорта.
Любители силовое двоеборье
Курск/Курская область 28 - 29 июля 2018 г.</t>
  </si>
  <si>
    <t>"Кубок ЦФО" по жиму лежа, становой тяге и силовым видам спорта.
Русская тяга любители 100 кг.
Курск/Курская область 28 - 29 июля 2018 г.</t>
  </si>
  <si>
    <t>Лично</t>
  </si>
  <si>
    <t>Тяга мн. повт.</t>
  </si>
  <si>
    <t>4500</t>
  </si>
  <si>
    <t>"Кубок ЦФО" по жиму лежа, становой тяге и силовым видам спорта.
Любители народная тяга (1 вес)
Курск/Курская область 28 - 29 июля 2018 г.</t>
  </si>
  <si>
    <t>53,5</t>
  </si>
  <si>
    <t>55</t>
  </si>
  <si>
    <t>2255</t>
  </si>
  <si>
    <t>50,8</t>
  </si>
  <si>
    <t>2100</t>
  </si>
  <si>
    <t>Женщины</t>
  </si>
  <si>
    <t>Локтионова Илия</t>
  </si>
  <si>
    <t>Курск/Курская область</t>
  </si>
  <si>
    <t>Шерман Дмитрий</t>
  </si>
  <si>
    <t xml:space="preserve">Кондаков Алексей </t>
  </si>
  <si>
    <t>Железный орден</t>
  </si>
  <si>
    <t>Рамиль Вахитов</t>
  </si>
  <si>
    <t>Кильдюшев А.Д.</t>
  </si>
  <si>
    <t>Самостоятельно</t>
  </si>
  <si>
    <t>Хлудеев Андрей</t>
  </si>
  <si>
    <t>Акулов В.Н.</t>
  </si>
  <si>
    <t>Дородных Владимир</t>
  </si>
  <si>
    <t>Карякин В.В.</t>
  </si>
  <si>
    <t>Косоголов В.В.</t>
  </si>
  <si>
    <t>Кондаков А.А.</t>
  </si>
  <si>
    <t xml:space="preserve">Льгов/Курская область </t>
  </si>
  <si>
    <t>Локтиона Илия</t>
  </si>
  <si>
    <t>Правос. Сп.клуб им. свт. Иоасафа</t>
  </si>
  <si>
    <t>ВЕСОВАЯ КАТЕГОРИЯ  75</t>
  </si>
  <si>
    <t>"Кубок ЦФО" по жиму лежа, становой тяге и силовым видам спорта.
Любители парная становая тяга
Курск/Курская область 28 - 29 июля 2018 г.</t>
  </si>
  <si>
    <t>Хохлова Анастасия</t>
  </si>
  <si>
    <t>Зевелева Анна</t>
  </si>
  <si>
    <t>69,77</t>
  </si>
  <si>
    <t>72,47</t>
  </si>
  <si>
    <t>210</t>
  </si>
  <si>
    <t>240</t>
  </si>
  <si>
    <t>Воловиков Николай</t>
  </si>
  <si>
    <t>Кондаков Сергей</t>
  </si>
  <si>
    <t>97,7</t>
  </si>
  <si>
    <t>101,2</t>
  </si>
  <si>
    <t>437,5</t>
  </si>
  <si>
    <t>470</t>
  </si>
  <si>
    <t>Илия Локтионова</t>
  </si>
  <si>
    <t xml:space="preserve"> Немчинов Д.А.</t>
  </si>
  <si>
    <t>Карпачев М.П.</t>
  </si>
  <si>
    <t>Дородных В.Н.</t>
  </si>
  <si>
    <t>Медведь</t>
  </si>
  <si>
    <t>Поляков Руслан</t>
  </si>
  <si>
    <t>Кузнецов Кирилл</t>
  </si>
  <si>
    <t>Шерман Д.В.</t>
  </si>
  <si>
    <t>Калиниченко В.А.</t>
  </si>
  <si>
    <t>Немчинов А.М.</t>
  </si>
  <si>
    <t>Кузьмин Влад</t>
  </si>
  <si>
    <t>Over the top</t>
  </si>
  <si>
    <t>Авалон</t>
  </si>
  <si>
    <t>75</t>
  </si>
  <si>
    <t>Открытая (28.12.1991)/27</t>
  </si>
  <si>
    <t>Открытая (21.11.1996)/22</t>
  </si>
  <si>
    <t>Открытая (22.05.1988)/30</t>
  </si>
  <si>
    <t>Открытая (30.12.1987)/31</t>
  </si>
  <si>
    <t>214,5973</t>
  </si>
  <si>
    <t>135,744</t>
  </si>
  <si>
    <t>65,4</t>
  </si>
  <si>
    <t>35</t>
  </si>
  <si>
    <t>Петров Алексей</t>
  </si>
  <si>
    <t>Юноши (16-17)</t>
  </si>
  <si>
    <t>1295</t>
  </si>
  <si>
    <t>1295,0</t>
  </si>
  <si>
    <t>Юноши 16-17 (30,03,2002)/16</t>
  </si>
  <si>
    <t>Курск\Курская область</t>
  </si>
  <si>
    <t>лично</t>
  </si>
  <si>
    <t>1. Петров Алексей</t>
  </si>
  <si>
    <t>0,8563</t>
  </si>
  <si>
    <t>1108,9085</t>
  </si>
  <si>
    <t>0,9595</t>
  </si>
  <si>
    <t>0,9707</t>
  </si>
  <si>
    <t>2038,47</t>
  </si>
  <si>
    <t>2163,6725</t>
  </si>
  <si>
    <t>2. Калакуцкий Руслан</t>
  </si>
  <si>
    <t>="129,4900"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</si>
</sst>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49" fontId="0" fillId="33" borderId="11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left"/>
    </xf>
    <xf numFmtId="0" fontId="44" fillId="0" borderId="11" xfId="0" applyFont="1" applyBorder="1" applyAlignment="1">
      <alignment horizontal="left"/>
    </xf>
    <xf numFmtId="0" fontId="44" fillId="0" borderId="12" xfId="0" applyFont="1" applyBorder="1" applyAlignment="1">
      <alignment horizontal="left"/>
    </xf>
    <xf numFmtId="0" fontId="44" fillId="0" borderId="13" xfId="0" applyFont="1" applyBorder="1" applyAlignment="1">
      <alignment horizontal="left"/>
    </xf>
    <xf numFmtId="49" fontId="0" fillId="34" borderId="11" xfId="0" applyNumberFormat="1" applyFont="1" applyFill="1" applyBorder="1" applyAlignment="1">
      <alignment horizontal="left"/>
    </xf>
    <xf numFmtId="49" fontId="0" fillId="34" borderId="11" xfId="0" applyNumberFormat="1" applyFont="1" applyFill="1" applyBorder="1" applyAlignment="1">
      <alignment horizontal="center"/>
    </xf>
    <xf numFmtId="49" fontId="2" fillId="34" borderId="0" xfId="0" applyNumberFormat="1" applyFont="1" applyFill="1" applyBorder="1" applyAlignment="1">
      <alignment horizontal="left"/>
    </xf>
    <xf numFmtId="49" fontId="0" fillId="34" borderId="0" xfId="0" applyNumberFormat="1" applyFont="1" applyFill="1" applyBorder="1" applyAlignment="1">
      <alignment horizontal="left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70" zoomScaleNormal="70" zoomScalePageLayoutView="0" workbookViewId="0" topLeftCell="A1">
      <selection activeCell="F35" sqref="F35"/>
    </sheetView>
  </sheetViews>
  <sheetFormatPr defaultColWidth="9.00390625" defaultRowHeight="12.75"/>
  <cols>
    <col min="1" max="1" width="26.00390625" style="4" bestFit="1" customWidth="1"/>
    <col min="2" max="2" width="29.00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4.375" style="4" bestFit="1" customWidth="1"/>
    <col min="7" max="9" width="5.625" style="3" bestFit="1" customWidth="1"/>
    <col min="10" max="10" width="4.875" style="3" bestFit="1" customWidth="1"/>
    <col min="11" max="11" width="11.25390625" style="4" bestFit="1" customWidth="1"/>
    <col min="12" max="12" width="8.625" style="3" bestFit="1" customWidth="1"/>
    <col min="13" max="13" width="18.125" style="4" bestFit="1" customWidth="1"/>
    <col min="14" max="16384" width="9.125" style="3" customWidth="1"/>
  </cols>
  <sheetData>
    <row r="1" spans="1:13" s="2" customFormat="1" ht="28.5" customHeight="1">
      <c r="A1" s="50" t="s">
        <v>597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2" customFormat="1" ht="61.5" customHeight="1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0</v>
      </c>
      <c r="B3" s="58" t="s">
        <v>7</v>
      </c>
      <c r="C3" s="58" t="s">
        <v>8</v>
      </c>
      <c r="D3" s="60" t="s">
        <v>11</v>
      </c>
      <c r="E3" s="60" t="s">
        <v>5</v>
      </c>
      <c r="F3" s="60" t="s">
        <v>9</v>
      </c>
      <c r="G3" s="60" t="s">
        <v>2</v>
      </c>
      <c r="H3" s="60"/>
      <c r="I3" s="60"/>
      <c r="J3" s="60"/>
      <c r="K3" s="60" t="s">
        <v>59</v>
      </c>
      <c r="L3" s="60" t="s">
        <v>4</v>
      </c>
      <c r="M3" s="44" t="s">
        <v>3</v>
      </c>
    </row>
    <row r="4" spans="1:13" s="1" customFormat="1" ht="31.5" customHeight="1" thickBot="1">
      <c r="A4" s="57"/>
      <c r="B4" s="59"/>
      <c r="C4" s="59"/>
      <c r="D4" s="59"/>
      <c r="E4" s="59"/>
      <c r="F4" s="59"/>
      <c r="G4" s="29">
        <v>1</v>
      </c>
      <c r="H4" s="29">
        <v>2</v>
      </c>
      <c r="I4" s="29">
        <v>3</v>
      </c>
      <c r="J4" s="29" t="s">
        <v>6</v>
      </c>
      <c r="K4" s="59"/>
      <c r="L4" s="59"/>
      <c r="M4" s="45"/>
    </row>
    <row r="5" spans="1:12" ht="15">
      <c r="A5" s="46" t="s">
        <v>596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3" ht="12.75">
      <c r="A6" s="7" t="s">
        <v>598</v>
      </c>
      <c r="B6" s="7" t="s">
        <v>624</v>
      </c>
      <c r="C6" s="7" t="s">
        <v>601</v>
      </c>
      <c r="D6" s="7"/>
      <c r="E6" s="7" t="s">
        <v>622</v>
      </c>
      <c r="F6" s="7" t="s">
        <v>18</v>
      </c>
      <c r="G6" s="9" t="s">
        <v>602</v>
      </c>
      <c r="H6" s="9" t="s">
        <v>488</v>
      </c>
      <c r="I6" s="9" t="s">
        <v>603</v>
      </c>
      <c r="J6" s="8"/>
      <c r="K6" s="7" t="s">
        <v>603</v>
      </c>
      <c r="L6" s="9" t="s">
        <v>629</v>
      </c>
      <c r="M6" s="7" t="s">
        <v>590</v>
      </c>
    </row>
    <row r="7" spans="1:13" ht="12.75">
      <c r="A7" s="7" t="s">
        <v>599</v>
      </c>
      <c r="B7" s="7" t="s">
        <v>625</v>
      </c>
      <c r="C7" s="7" t="s">
        <v>600</v>
      </c>
      <c r="D7" s="7"/>
      <c r="E7" s="7" t="s">
        <v>622</v>
      </c>
      <c r="F7" s="7" t="s">
        <v>18</v>
      </c>
      <c r="G7" s="9" t="s">
        <v>602</v>
      </c>
      <c r="H7" s="9" t="s">
        <v>488</v>
      </c>
      <c r="I7" s="9" t="s">
        <v>603</v>
      </c>
      <c r="J7" s="8"/>
      <c r="K7" s="7" t="s">
        <v>603</v>
      </c>
      <c r="L7" s="9" t="s">
        <v>629</v>
      </c>
      <c r="M7" s="7" t="s">
        <v>590</v>
      </c>
    </row>
    <row r="9" spans="1:12" ht="15">
      <c r="A9" s="48" t="s">
        <v>215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1:13" ht="12.75">
      <c r="A10" s="10" t="s">
        <v>604</v>
      </c>
      <c r="B10" s="10" t="s">
        <v>626</v>
      </c>
      <c r="C10" s="10" t="s">
        <v>606</v>
      </c>
      <c r="D10" s="38">
        <v>0.5599</v>
      </c>
      <c r="E10" s="10" t="s">
        <v>621</v>
      </c>
      <c r="F10" s="10" t="s">
        <v>18</v>
      </c>
      <c r="G10" s="12" t="s">
        <v>608</v>
      </c>
      <c r="H10" s="12" t="s">
        <v>609</v>
      </c>
      <c r="I10" s="8"/>
      <c r="J10" s="8"/>
      <c r="K10" s="7" t="s">
        <v>609</v>
      </c>
      <c r="L10" s="9" t="s">
        <v>628</v>
      </c>
      <c r="M10" s="7" t="s">
        <v>586</v>
      </c>
    </row>
    <row r="11" spans="1:13" ht="12.75">
      <c r="A11" s="13" t="s">
        <v>605</v>
      </c>
      <c r="B11" s="13" t="s">
        <v>627</v>
      </c>
      <c r="C11" s="13" t="s">
        <v>607</v>
      </c>
      <c r="D11" s="39">
        <v>0.5515</v>
      </c>
      <c r="E11" s="13" t="s">
        <v>621</v>
      </c>
      <c r="F11" s="13" t="s">
        <v>18</v>
      </c>
      <c r="G11" s="9" t="s">
        <v>608</v>
      </c>
      <c r="H11" s="9" t="s">
        <v>609</v>
      </c>
      <c r="I11" s="9"/>
      <c r="J11" s="8"/>
      <c r="K11" s="7" t="s">
        <v>609</v>
      </c>
      <c r="L11" s="9" t="s">
        <v>628</v>
      </c>
      <c r="M11" s="7" t="s">
        <v>604</v>
      </c>
    </row>
    <row r="14" spans="5:6" ht="15">
      <c r="E14" s="16" t="s">
        <v>35</v>
      </c>
      <c r="F14" s="4" t="s">
        <v>474</v>
      </c>
    </row>
    <row r="15" spans="5:6" ht="15">
      <c r="E15" s="16" t="s">
        <v>36</v>
      </c>
      <c r="F15" s="4" t="s">
        <v>475</v>
      </c>
    </row>
    <row r="16" spans="5:6" ht="15">
      <c r="E16" s="16" t="s">
        <v>37</v>
      </c>
      <c r="F16" s="4" t="s">
        <v>476</v>
      </c>
    </row>
    <row r="17" spans="5:6" ht="15">
      <c r="E17" s="16" t="s">
        <v>38</v>
      </c>
      <c r="F17" s="4" t="s">
        <v>477</v>
      </c>
    </row>
    <row r="18" spans="5:6" ht="15">
      <c r="E18" s="16" t="s">
        <v>38</v>
      </c>
      <c r="F18" s="4" t="s">
        <v>478</v>
      </c>
    </row>
    <row r="19" spans="5:6" ht="15">
      <c r="E19" s="16" t="s">
        <v>39</v>
      </c>
      <c r="F19" s="4" t="s">
        <v>479</v>
      </c>
    </row>
    <row r="20" ht="15">
      <c r="E20" s="16"/>
    </row>
    <row r="22" spans="1:2" ht="18">
      <c r="A22" s="17" t="s">
        <v>40</v>
      </c>
      <c r="B22" s="17"/>
    </row>
    <row r="23" spans="1:2" ht="15">
      <c r="A23" s="18" t="s">
        <v>41</v>
      </c>
      <c r="B23" s="18"/>
    </row>
    <row r="25" spans="1:2" ht="14.25">
      <c r="A25" s="20"/>
      <c r="B25" s="21" t="s">
        <v>96</v>
      </c>
    </row>
    <row r="26" spans="1:5" ht="15">
      <c r="A26" s="22" t="s">
        <v>43</v>
      </c>
      <c r="B26" s="22" t="s">
        <v>44</v>
      </c>
      <c r="C26" s="22" t="s">
        <v>45</v>
      </c>
      <c r="D26" s="22" t="s">
        <v>46</v>
      </c>
      <c r="E26" s="22" t="s">
        <v>47</v>
      </c>
    </row>
    <row r="27" spans="1:5" ht="12.75">
      <c r="A27" s="19" t="s">
        <v>598</v>
      </c>
      <c r="B27" s="4" t="s">
        <v>96</v>
      </c>
      <c r="C27" s="4" t="s">
        <v>623</v>
      </c>
      <c r="D27" s="4" t="s">
        <v>603</v>
      </c>
      <c r="E27" s="9" t="s">
        <v>629</v>
      </c>
    </row>
    <row r="28" spans="1:5" ht="12.75">
      <c r="A28" s="19" t="s">
        <v>599</v>
      </c>
      <c r="B28" s="4" t="s">
        <v>96</v>
      </c>
      <c r="C28" s="4" t="s">
        <v>623</v>
      </c>
      <c r="D28" s="4" t="s">
        <v>603</v>
      </c>
      <c r="E28" s="9" t="s">
        <v>629</v>
      </c>
    </row>
    <row r="30" spans="1:2" ht="15">
      <c r="A30" s="18" t="s">
        <v>51</v>
      </c>
      <c r="B30" s="18"/>
    </row>
    <row r="32" spans="1:2" ht="14.25">
      <c r="A32" s="20"/>
      <c r="B32" s="21" t="s">
        <v>96</v>
      </c>
    </row>
    <row r="33" spans="1:5" ht="15">
      <c r="A33" s="22" t="s">
        <v>43</v>
      </c>
      <c r="B33" s="22" t="s">
        <v>44</v>
      </c>
      <c r="C33" s="22" t="s">
        <v>45</v>
      </c>
      <c r="D33" s="22" t="s">
        <v>46</v>
      </c>
      <c r="E33" s="22" t="s">
        <v>47</v>
      </c>
    </row>
    <row r="34" spans="1:5" ht="12.75">
      <c r="A34" s="19" t="s">
        <v>604</v>
      </c>
      <c r="B34" s="4" t="s">
        <v>96</v>
      </c>
      <c r="C34" s="4" t="s">
        <v>496</v>
      </c>
      <c r="D34" s="4" t="s">
        <v>609</v>
      </c>
      <c r="E34" s="9" t="s">
        <v>628</v>
      </c>
    </row>
    <row r="35" spans="1:5" ht="12.75">
      <c r="A35" s="19" t="s">
        <v>605</v>
      </c>
      <c r="B35" s="4" t="s">
        <v>96</v>
      </c>
      <c r="C35" s="4" t="s">
        <v>496</v>
      </c>
      <c r="D35" s="4" t="s">
        <v>609</v>
      </c>
      <c r="E35" s="9" t="s">
        <v>628</v>
      </c>
    </row>
  </sheetData>
  <sheetProtection/>
  <mergeCells count="13">
    <mergeCell ref="M3:M4"/>
    <mergeCell ref="A5:L5"/>
    <mergeCell ref="A9:L9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26.00390625" style="0" bestFit="1" customWidth="1"/>
    <col min="2" max="2" width="22.875" style="0" bestFit="1" customWidth="1"/>
    <col min="5" max="5" width="22.75390625" style="0" bestFit="1" customWidth="1"/>
    <col min="6" max="6" width="30.875" style="0" bestFit="1" customWidth="1"/>
    <col min="15" max="15" width="11.25390625" style="0" bestFit="1" customWidth="1"/>
    <col min="17" max="17" width="15.125" style="0" bestFit="1" customWidth="1"/>
  </cols>
  <sheetData>
    <row r="1" spans="1:17" ht="12.75">
      <c r="A1" s="50" t="s">
        <v>567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</row>
    <row r="2" spans="1:17" ht="80.25" customHeight="1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5"/>
    </row>
    <row r="3" spans="1:17" ht="15">
      <c r="A3" s="56" t="s">
        <v>0</v>
      </c>
      <c r="B3" s="58" t="s">
        <v>7</v>
      </c>
      <c r="C3" s="58" t="s">
        <v>8</v>
      </c>
      <c r="D3" s="60" t="s">
        <v>11</v>
      </c>
      <c r="E3" s="60" t="s">
        <v>5</v>
      </c>
      <c r="F3" s="60" t="s">
        <v>9</v>
      </c>
      <c r="G3" s="60" t="s">
        <v>2</v>
      </c>
      <c r="H3" s="60"/>
      <c r="I3" s="60"/>
      <c r="J3" s="60"/>
      <c r="K3" s="60" t="s">
        <v>1</v>
      </c>
      <c r="L3" s="60"/>
      <c r="M3" s="60"/>
      <c r="N3" s="60"/>
      <c r="O3" s="60" t="s">
        <v>59</v>
      </c>
      <c r="P3" s="60" t="s">
        <v>4</v>
      </c>
      <c r="Q3" s="44" t="s">
        <v>3</v>
      </c>
    </row>
    <row r="4" spans="1:17" ht="15.75" thickBot="1">
      <c r="A4" s="57"/>
      <c r="B4" s="59"/>
      <c r="C4" s="59"/>
      <c r="D4" s="59"/>
      <c r="E4" s="59"/>
      <c r="F4" s="59"/>
      <c r="G4" s="5">
        <v>1</v>
      </c>
      <c r="H4" s="5">
        <v>2</v>
      </c>
      <c r="I4" s="5">
        <v>3</v>
      </c>
      <c r="J4" s="5" t="s">
        <v>6</v>
      </c>
      <c r="K4" s="5">
        <v>1</v>
      </c>
      <c r="L4" s="5">
        <v>2</v>
      </c>
      <c r="M4" s="5">
        <v>3</v>
      </c>
      <c r="N4" s="5" t="s">
        <v>6</v>
      </c>
      <c r="O4" s="59"/>
      <c r="P4" s="59"/>
      <c r="Q4" s="45"/>
    </row>
    <row r="5" spans="1:17" ht="15">
      <c r="A5" s="46" t="s">
        <v>490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"/>
    </row>
    <row r="6" spans="1:17" ht="12.75">
      <c r="A6" s="7" t="s">
        <v>483</v>
      </c>
      <c r="B6" s="7" t="s">
        <v>491</v>
      </c>
      <c r="C6" s="7" t="s">
        <v>502</v>
      </c>
      <c r="D6" s="37">
        <v>0.7347</v>
      </c>
      <c r="E6" s="7" t="s">
        <v>75</v>
      </c>
      <c r="F6" s="7" t="s">
        <v>76</v>
      </c>
      <c r="G6" s="9" t="s">
        <v>497</v>
      </c>
      <c r="H6" s="9" t="s">
        <v>498</v>
      </c>
      <c r="I6" s="9" t="s">
        <v>499</v>
      </c>
      <c r="J6" s="8"/>
      <c r="K6" s="9" t="s">
        <v>500</v>
      </c>
      <c r="L6" s="9" t="s">
        <v>494</v>
      </c>
      <c r="M6" s="8" t="s">
        <v>495</v>
      </c>
      <c r="N6" s="8"/>
      <c r="O6" s="7" t="s">
        <v>488</v>
      </c>
      <c r="P6" s="7" t="s">
        <v>484</v>
      </c>
      <c r="Q6" s="7" t="s">
        <v>588</v>
      </c>
    </row>
    <row r="7" spans="1:17" ht="13.5" thickBot="1">
      <c r="A7" s="4"/>
      <c r="B7" s="4"/>
      <c r="C7" s="4"/>
      <c r="D7" s="4"/>
      <c r="E7" s="4"/>
      <c r="F7" s="4"/>
      <c r="G7" s="3"/>
      <c r="H7" s="3"/>
      <c r="I7" s="3"/>
      <c r="J7" s="6"/>
      <c r="K7" s="3"/>
      <c r="L7" s="3"/>
      <c r="M7" s="3"/>
      <c r="N7" s="6"/>
      <c r="O7" s="4"/>
      <c r="P7" s="3"/>
      <c r="Q7" s="4"/>
    </row>
    <row r="8" spans="1:17" ht="15">
      <c r="A8" s="56" t="s">
        <v>0</v>
      </c>
      <c r="B8" s="58" t="s">
        <v>7</v>
      </c>
      <c r="C8" s="58" t="s">
        <v>8</v>
      </c>
      <c r="D8" s="60" t="s">
        <v>11</v>
      </c>
      <c r="E8" s="60" t="s">
        <v>5</v>
      </c>
      <c r="F8" s="60" t="s">
        <v>9</v>
      </c>
      <c r="G8" s="60" t="s">
        <v>2</v>
      </c>
      <c r="H8" s="60"/>
      <c r="I8" s="60"/>
      <c r="J8" s="60"/>
      <c r="K8" s="60" t="s">
        <v>1</v>
      </c>
      <c r="L8" s="60"/>
      <c r="M8" s="60"/>
      <c r="N8" s="60"/>
      <c r="O8" s="60" t="s">
        <v>59</v>
      </c>
      <c r="P8" s="60" t="s">
        <v>4</v>
      </c>
      <c r="Q8" s="44" t="s">
        <v>3</v>
      </c>
    </row>
    <row r="9" spans="1:17" ht="15.75" thickBot="1">
      <c r="A9" s="57"/>
      <c r="B9" s="59"/>
      <c r="C9" s="59"/>
      <c r="D9" s="59"/>
      <c r="E9" s="59"/>
      <c r="F9" s="59"/>
      <c r="G9" s="5">
        <v>1</v>
      </c>
      <c r="H9" s="5">
        <v>2</v>
      </c>
      <c r="I9" s="5">
        <v>3</v>
      </c>
      <c r="J9" s="5" t="s">
        <v>6</v>
      </c>
      <c r="K9" s="5">
        <v>1</v>
      </c>
      <c r="L9" s="5">
        <v>2</v>
      </c>
      <c r="M9" s="5">
        <v>3</v>
      </c>
      <c r="N9" s="5" t="s">
        <v>6</v>
      </c>
      <c r="O9" s="59"/>
      <c r="P9" s="59"/>
      <c r="Q9" s="45"/>
    </row>
    <row r="10" spans="1:17" ht="15">
      <c r="A10" s="46" t="s">
        <v>168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"/>
    </row>
    <row r="11" spans="1:17" ht="12.75">
      <c r="A11" s="7" t="s">
        <v>481</v>
      </c>
      <c r="B11" s="7" t="s">
        <v>491</v>
      </c>
      <c r="C11" s="7" t="s">
        <v>501</v>
      </c>
      <c r="D11" s="37">
        <v>0.5885</v>
      </c>
      <c r="E11" s="7" t="s">
        <v>75</v>
      </c>
      <c r="F11" s="7" t="s">
        <v>76</v>
      </c>
      <c r="G11" s="9" t="s">
        <v>504</v>
      </c>
      <c r="H11" s="9" t="s">
        <v>505</v>
      </c>
      <c r="I11" s="9" t="s">
        <v>506</v>
      </c>
      <c r="J11" s="8"/>
      <c r="K11" s="9" t="s">
        <v>499</v>
      </c>
      <c r="L11" s="8" t="s">
        <v>492</v>
      </c>
      <c r="M11" s="8" t="s">
        <v>492</v>
      </c>
      <c r="N11" s="8"/>
      <c r="O11" s="7" t="s">
        <v>487</v>
      </c>
      <c r="P11" s="27" t="s">
        <v>482</v>
      </c>
      <c r="Q11" s="7" t="s">
        <v>586</v>
      </c>
    </row>
    <row r="12" spans="1:17" ht="13.5" thickBot="1">
      <c r="A12" s="4"/>
      <c r="B12" s="4"/>
      <c r="C12" s="4"/>
      <c r="D12" s="4"/>
      <c r="E12" s="4"/>
      <c r="F12" s="4"/>
      <c r="G12" s="3"/>
      <c r="H12" s="3"/>
      <c r="I12" s="3"/>
      <c r="J12" s="6"/>
      <c r="K12" s="3"/>
      <c r="L12" s="3"/>
      <c r="M12" s="3"/>
      <c r="N12" s="6"/>
      <c r="O12" s="4"/>
      <c r="P12" s="3"/>
      <c r="Q12" s="4"/>
    </row>
    <row r="13" spans="1:17" ht="15">
      <c r="A13" s="56" t="s">
        <v>0</v>
      </c>
      <c r="B13" s="58" t="s">
        <v>7</v>
      </c>
      <c r="C13" s="58" t="s">
        <v>8</v>
      </c>
      <c r="D13" s="60" t="s">
        <v>11</v>
      </c>
      <c r="E13" s="60" t="s">
        <v>5</v>
      </c>
      <c r="F13" s="60" t="s">
        <v>9</v>
      </c>
      <c r="G13" s="60" t="s">
        <v>2</v>
      </c>
      <c r="H13" s="60"/>
      <c r="I13" s="60"/>
      <c r="J13" s="60"/>
      <c r="K13" s="60" t="s">
        <v>1</v>
      </c>
      <c r="L13" s="60"/>
      <c r="M13" s="60"/>
      <c r="N13" s="60"/>
      <c r="O13" s="60" t="s">
        <v>59</v>
      </c>
      <c r="P13" s="60" t="s">
        <v>4</v>
      </c>
      <c r="Q13" s="44" t="s">
        <v>3</v>
      </c>
    </row>
    <row r="14" spans="1:17" ht="15.75" thickBot="1">
      <c r="A14" s="57"/>
      <c r="B14" s="59"/>
      <c r="C14" s="59"/>
      <c r="D14" s="59"/>
      <c r="E14" s="59"/>
      <c r="F14" s="59"/>
      <c r="G14" s="5">
        <v>1</v>
      </c>
      <c r="H14" s="5">
        <v>2</v>
      </c>
      <c r="I14" s="5">
        <v>3</v>
      </c>
      <c r="J14" s="5" t="s">
        <v>6</v>
      </c>
      <c r="K14" s="5">
        <v>1</v>
      </c>
      <c r="L14" s="5">
        <v>2</v>
      </c>
      <c r="M14" s="5">
        <v>3</v>
      </c>
      <c r="N14" s="5" t="s">
        <v>6</v>
      </c>
      <c r="O14" s="59"/>
      <c r="P14" s="59"/>
      <c r="Q14" s="45"/>
    </row>
    <row r="15" spans="1:17" ht="15">
      <c r="A15" s="46" t="s">
        <v>215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"/>
    </row>
    <row r="16" spans="1:17" ht="12.75">
      <c r="A16" s="7" t="s">
        <v>587</v>
      </c>
      <c r="B16" s="7" t="s">
        <v>491</v>
      </c>
      <c r="C16" s="7" t="s">
        <v>503</v>
      </c>
      <c r="D16" s="37">
        <v>0.5446</v>
      </c>
      <c r="E16" s="7" t="s">
        <v>75</v>
      </c>
      <c r="F16" s="7" t="s">
        <v>76</v>
      </c>
      <c r="G16" s="8" t="s">
        <v>492</v>
      </c>
      <c r="H16" s="9" t="s">
        <v>492</v>
      </c>
      <c r="I16" s="9" t="s">
        <v>493</v>
      </c>
      <c r="J16" s="8"/>
      <c r="K16" s="9" t="s">
        <v>494</v>
      </c>
      <c r="L16" s="9" t="s">
        <v>495</v>
      </c>
      <c r="M16" s="9" t="s">
        <v>496</v>
      </c>
      <c r="N16" s="8"/>
      <c r="O16" s="7" t="s">
        <v>489</v>
      </c>
      <c r="P16" s="7" t="s">
        <v>486</v>
      </c>
      <c r="Q16" s="7" t="s">
        <v>588</v>
      </c>
    </row>
    <row r="17" spans="1:17" ht="12.75">
      <c r="A17" s="4"/>
      <c r="B17" s="4"/>
      <c r="C17" s="4"/>
      <c r="D17" s="4"/>
      <c r="E17" s="4"/>
      <c r="F17" s="4"/>
      <c r="G17" s="3"/>
      <c r="H17" s="3"/>
      <c r="I17" s="3"/>
      <c r="J17" s="3"/>
      <c r="K17" s="3"/>
      <c r="L17" s="3"/>
      <c r="M17" s="3"/>
      <c r="N17" s="3"/>
      <c r="O17" s="4"/>
      <c r="P17" s="3"/>
      <c r="Q17" s="4"/>
    </row>
    <row r="18" spans="1:17" ht="15">
      <c r="A18" s="4"/>
      <c r="B18" s="4"/>
      <c r="C18" s="4"/>
      <c r="D18" s="4"/>
      <c r="E18" s="16" t="s">
        <v>35</v>
      </c>
      <c r="F18" s="4" t="s">
        <v>474</v>
      </c>
      <c r="G18" s="3"/>
      <c r="H18" s="3"/>
      <c r="I18" s="3"/>
      <c r="J18" s="3"/>
      <c r="K18" s="3"/>
      <c r="L18" s="3"/>
      <c r="M18" s="3"/>
      <c r="N18" s="3"/>
      <c r="O18" s="4"/>
      <c r="P18" s="3"/>
      <c r="Q18" s="4"/>
    </row>
    <row r="19" spans="1:17" ht="15">
      <c r="A19" s="4"/>
      <c r="B19" s="4"/>
      <c r="C19" s="4"/>
      <c r="D19" s="4"/>
      <c r="E19" s="16" t="s">
        <v>36</v>
      </c>
      <c r="F19" s="4" t="s">
        <v>475</v>
      </c>
      <c r="G19" s="3"/>
      <c r="H19" s="3"/>
      <c r="I19" s="3"/>
      <c r="J19" s="3"/>
      <c r="K19" s="3"/>
      <c r="L19" s="3"/>
      <c r="M19" s="3"/>
      <c r="N19" s="3"/>
      <c r="O19" s="4"/>
      <c r="P19" s="3"/>
      <c r="Q19" s="4"/>
    </row>
    <row r="20" spans="1:17" ht="15">
      <c r="A20" s="4"/>
      <c r="B20" s="4"/>
      <c r="C20" s="4"/>
      <c r="D20" s="4"/>
      <c r="E20" s="16" t="s">
        <v>37</v>
      </c>
      <c r="F20" s="4" t="s">
        <v>476</v>
      </c>
      <c r="G20" s="3"/>
      <c r="H20" s="3"/>
      <c r="I20" s="3"/>
      <c r="J20" s="3"/>
      <c r="K20" s="3"/>
      <c r="L20" s="3"/>
      <c r="M20" s="3"/>
      <c r="N20" s="3"/>
      <c r="O20" s="4"/>
      <c r="P20" s="3"/>
      <c r="Q20" s="4"/>
    </row>
    <row r="21" spans="1:17" ht="15">
      <c r="A21" s="4"/>
      <c r="B21" s="4"/>
      <c r="C21" s="4"/>
      <c r="D21" s="4"/>
      <c r="E21" s="16" t="s">
        <v>38</v>
      </c>
      <c r="F21" s="4" t="s">
        <v>477</v>
      </c>
      <c r="G21" s="3"/>
      <c r="H21" s="3"/>
      <c r="I21" s="3"/>
      <c r="J21" s="3"/>
      <c r="K21" s="3"/>
      <c r="L21" s="3"/>
      <c r="M21" s="3"/>
      <c r="N21" s="3"/>
      <c r="O21" s="4"/>
      <c r="P21" s="3"/>
      <c r="Q21" s="4"/>
    </row>
    <row r="22" spans="1:17" ht="15">
      <c r="A22" s="4"/>
      <c r="B22" s="4"/>
      <c r="C22" s="4"/>
      <c r="D22" s="4"/>
      <c r="E22" s="16" t="s">
        <v>38</v>
      </c>
      <c r="F22" s="4" t="s">
        <v>478</v>
      </c>
      <c r="G22" s="3"/>
      <c r="H22" s="3"/>
      <c r="I22" s="3"/>
      <c r="J22" s="3"/>
      <c r="K22" s="3"/>
      <c r="L22" s="3"/>
      <c r="M22" s="3"/>
      <c r="N22" s="3"/>
      <c r="O22" s="4"/>
      <c r="P22" s="3"/>
      <c r="Q22" s="4"/>
    </row>
    <row r="23" spans="1:17" ht="15">
      <c r="A23" s="4"/>
      <c r="B23" s="4"/>
      <c r="C23" s="4"/>
      <c r="D23" s="4"/>
      <c r="E23" s="16" t="s">
        <v>39</v>
      </c>
      <c r="F23" s="4" t="s">
        <v>479</v>
      </c>
      <c r="G23" s="3"/>
      <c r="H23" s="3"/>
      <c r="I23" s="3"/>
      <c r="J23" s="3"/>
      <c r="K23" s="3"/>
      <c r="L23" s="3"/>
      <c r="M23" s="3"/>
      <c r="N23" s="3"/>
      <c r="O23" s="4"/>
      <c r="P23" s="3"/>
      <c r="Q23" s="4"/>
    </row>
    <row r="24" spans="1:17" ht="15">
      <c r="A24" s="4"/>
      <c r="B24" s="4"/>
      <c r="C24" s="4"/>
      <c r="D24" s="4"/>
      <c r="E24" s="16"/>
      <c r="F24" s="4"/>
      <c r="G24" s="3"/>
      <c r="H24" s="3"/>
      <c r="I24" s="3"/>
      <c r="J24" s="3"/>
      <c r="K24" s="3"/>
      <c r="L24" s="3"/>
      <c r="M24" s="3"/>
      <c r="N24" s="3"/>
      <c r="O24" s="4"/>
      <c r="P24" s="3"/>
      <c r="Q24" s="4"/>
    </row>
    <row r="25" spans="1:17" ht="12.75">
      <c r="A25" s="4"/>
      <c r="B25" s="4"/>
      <c r="C25" s="4"/>
      <c r="D25" s="4"/>
      <c r="E25" s="4"/>
      <c r="F25" s="4"/>
      <c r="G25" s="3"/>
      <c r="H25" s="3"/>
      <c r="I25" s="3"/>
      <c r="J25" s="3"/>
      <c r="K25" s="3"/>
      <c r="L25" s="3"/>
      <c r="M25" s="3"/>
      <c r="N25" s="3"/>
      <c r="O25" s="4"/>
      <c r="P25" s="3"/>
      <c r="Q25" s="4"/>
    </row>
    <row r="26" spans="1:17" ht="18">
      <c r="A26" s="17" t="s">
        <v>40</v>
      </c>
      <c r="B26" s="17"/>
      <c r="C26" s="4"/>
      <c r="D26" s="4"/>
      <c r="E26" s="4"/>
      <c r="F26" s="4"/>
      <c r="G26" s="3"/>
      <c r="H26" s="3"/>
      <c r="I26" s="3"/>
      <c r="J26" s="3"/>
      <c r="K26" s="3"/>
      <c r="L26" s="3"/>
      <c r="M26" s="3"/>
      <c r="N26" s="3"/>
      <c r="O26" s="4"/>
      <c r="P26" s="3"/>
      <c r="Q26" s="4"/>
    </row>
    <row r="27" spans="1:17" ht="15">
      <c r="A27" s="18" t="s">
        <v>480</v>
      </c>
      <c r="B27" s="18"/>
      <c r="C27" s="4"/>
      <c r="D27" s="4"/>
      <c r="E27" s="4"/>
      <c r="F27" s="4"/>
      <c r="G27" s="3"/>
      <c r="H27" s="3"/>
      <c r="I27" s="3"/>
      <c r="J27" s="3"/>
      <c r="K27" s="3"/>
      <c r="L27" s="3"/>
      <c r="M27" s="3"/>
      <c r="N27" s="3"/>
      <c r="O27" s="4"/>
      <c r="P27" s="3"/>
      <c r="Q27" s="4"/>
    </row>
    <row r="28" spans="1:17" ht="14.25">
      <c r="A28" s="20"/>
      <c r="B28" s="21" t="s">
        <v>96</v>
      </c>
      <c r="C28" s="4"/>
      <c r="D28" s="4"/>
      <c r="E28" s="4"/>
      <c r="F28" s="4"/>
      <c r="G28" s="3"/>
      <c r="H28" s="3"/>
      <c r="I28" s="3"/>
      <c r="J28" s="3"/>
      <c r="K28" s="3"/>
      <c r="L28" s="3"/>
      <c r="M28" s="3"/>
      <c r="N28" s="3"/>
      <c r="O28" s="4"/>
      <c r="P28" s="3"/>
      <c r="Q28" s="4"/>
    </row>
    <row r="29" spans="1:17" ht="15">
      <c r="A29" s="22" t="s">
        <v>43</v>
      </c>
      <c r="B29" s="22" t="s">
        <v>44</v>
      </c>
      <c r="C29" s="22" t="s">
        <v>45</v>
      </c>
      <c r="D29" s="22" t="s">
        <v>46</v>
      </c>
      <c r="E29" s="22" t="s">
        <v>47</v>
      </c>
      <c r="F29" s="4"/>
      <c r="G29" s="3"/>
      <c r="H29" s="3"/>
      <c r="I29" s="3"/>
      <c r="J29" s="3"/>
      <c r="K29" s="3"/>
      <c r="L29" s="3"/>
      <c r="M29" s="3"/>
      <c r="N29" s="3"/>
      <c r="O29" s="4"/>
      <c r="P29" s="3"/>
      <c r="Q29" s="4"/>
    </row>
    <row r="30" spans="1:17" ht="12.75">
      <c r="A30" s="4" t="s">
        <v>481</v>
      </c>
      <c r="B30" s="4" t="s">
        <v>96</v>
      </c>
      <c r="C30" s="4" t="s">
        <v>143</v>
      </c>
      <c r="D30" s="4" t="s">
        <v>487</v>
      </c>
      <c r="E30" s="23" t="s">
        <v>482</v>
      </c>
      <c r="F30" s="4"/>
      <c r="G30" s="3"/>
      <c r="H30" s="3"/>
      <c r="I30" s="3"/>
      <c r="J30" s="3"/>
      <c r="K30" s="3"/>
      <c r="L30" s="3"/>
      <c r="M30" s="3"/>
      <c r="N30" s="3"/>
      <c r="O30" s="4"/>
      <c r="P30" s="3"/>
      <c r="Q30" s="4"/>
    </row>
    <row r="31" spans="1:17" ht="12.75">
      <c r="A31" s="4" t="s">
        <v>483</v>
      </c>
      <c r="B31" s="4" t="s">
        <v>96</v>
      </c>
      <c r="C31" s="4" t="s">
        <v>20</v>
      </c>
      <c r="D31" s="4" t="s">
        <v>488</v>
      </c>
      <c r="E31" s="4" t="s">
        <v>484</v>
      </c>
      <c r="F31" s="4"/>
      <c r="G31" s="3"/>
      <c r="H31" s="3"/>
      <c r="I31" s="3"/>
      <c r="J31" s="3"/>
      <c r="K31" s="3"/>
      <c r="L31" s="3"/>
      <c r="M31" s="3"/>
      <c r="N31" s="3"/>
      <c r="O31" s="4"/>
      <c r="P31" s="3"/>
      <c r="Q31" s="4"/>
    </row>
    <row r="32" spans="1:17" ht="12.75">
      <c r="A32" s="4" t="s">
        <v>485</v>
      </c>
      <c r="B32" s="4" t="s">
        <v>96</v>
      </c>
      <c r="C32" s="4" t="s">
        <v>496</v>
      </c>
      <c r="D32" s="4" t="s">
        <v>489</v>
      </c>
      <c r="E32" s="4" t="s">
        <v>486</v>
      </c>
      <c r="F32" s="4"/>
      <c r="G32" s="3"/>
      <c r="H32" s="3"/>
      <c r="I32" s="3"/>
      <c r="J32" s="3"/>
      <c r="K32" s="3"/>
      <c r="L32" s="3"/>
      <c r="M32" s="3"/>
      <c r="N32" s="3"/>
      <c r="O32" s="4"/>
      <c r="P32" s="3"/>
      <c r="Q32" s="4"/>
    </row>
    <row r="33" spans="1:17" ht="12.75">
      <c r="A33" s="4"/>
      <c r="B33" s="4"/>
      <c r="C33" s="4"/>
      <c r="D33" s="4"/>
      <c r="E33" s="4"/>
      <c r="F33" s="4"/>
      <c r="G33" s="3"/>
      <c r="H33" s="3"/>
      <c r="I33" s="3"/>
      <c r="J33" s="3"/>
      <c r="K33" s="3"/>
      <c r="L33" s="3"/>
      <c r="M33" s="3"/>
      <c r="N33" s="3"/>
      <c r="O33" s="4"/>
      <c r="P33" s="3"/>
      <c r="Q33" s="4"/>
    </row>
  </sheetData>
  <sheetProtection/>
  <mergeCells count="37">
    <mergeCell ref="Q3:Q4"/>
    <mergeCell ref="A5:P5"/>
    <mergeCell ref="K3:N3"/>
    <mergeCell ref="A1:Q2"/>
    <mergeCell ref="A3:A4"/>
    <mergeCell ref="B3:B4"/>
    <mergeCell ref="C3:C4"/>
    <mergeCell ref="D3:D4"/>
    <mergeCell ref="E3:E4"/>
    <mergeCell ref="F3:F4"/>
    <mergeCell ref="G3:J3"/>
    <mergeCell ref="O3:O4"/>
    <mergeCell ref="P3:P4"/>
    <mergeCell ref="K8:N8"/>
    <mergeCell ref="O8:O9"/>
    <mergeCell ref="P8:P9"/>
    <mergeCell ref="Q8:Q9"/>
    <mergeCell ref="A10:P10"/>
    <mergeCell ref="A8:A9"/>
    <mergeCell ref="B8:B9"/>
    <mergeCell ref="C8:C9"/>
    <mergeCell ref="D8:D9"/>
    <mergeCell ref="E8:E9"/>
    <mergeCell ref="F8:F9"/>
    <mergeCell ref="G8:J8"/>
    <mergeCell ref="Q13:Q14"/>
    <mergeCell ref="A15:P15"/>
    <mergeCell ref="F13:F14"/>
    <mergeCell ref="G13:J13"/>
    <mergeCell ref="K13:N13"/>
    <mergeCell ref="O13:O14"/>
    <mergeCell ref="P13:P14"/>
    <mergeCell ref="A13:A14"/>
    <mergeCell ref="B13:B14"/>
    <mergeCell ref="C13:C14"/>
    <mergeCell ref="D13:D14"/>
    <mergeCell ref="E13:E1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M6" sqref="M6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0.8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5.75390625" style="4" bestFit="1" customWidth="1"/>
    <col min="14" max="16384" width="9.125" style="3" customWidth="1"/>
  </cols>
  <sheetData>
    <row r="1" spans="1:13" s="2" customFormat="1" ht="28.5" customHeight="1">
      <c r="A1" s="50" t="s">
        <v>472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2" customFormat="1" ht="61.5" customHeight="1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0</v>
      </c>
      <c r="B3" s="58" t="s">
        <v>7</v>
      </c>
      <c r="C3" s="58" t="s">
        <v>8</v>
      </c>
      <c r="D3" s="60" t="s">
        <v>11</v>
      </c>
      <c r="E3" s="60" t="s">
        <v>5</v>
      </c>
      <c r="F3" s="60" t="s">
        <v>9</v>
      </c>
      <c r="G3" s="60" t="s">
        <v>2</v>
      </c>
      <c r="H3" s="60"/>
      <c r="I3" s="60"/>
      <c r="J3" s="60"/>
      <c r="K3" s="60" t="s">
        <v>59</v>
      </c>
      <c r="L3" s="60" t="s">
        <v>4</v>
      </c>
      <c r="M3" s="44" t="s">
        <v>3</v>
      </c>
    </row>
    <row r="4" spans="1:13" s="1" customFormat="1" ht="21" customHeight="1" thickBot="1">
      <c r="A4" s="57"/>
      <c r="B4" s="59"/>
      <c r="C4" s="59"/>
      <c r="D4" s="59"/>
      <c r="E4" s="59"/>
      <c r="F4" s="59"/>
      <c r="G4" s="5">
        <v>1</v>
      </c>
      <c r="H4" s="5">
        <v>2</v>
      </c>
      <c r="I4" s="5">
        <v>3</v>
      </c>
      <c r="J4" s="5" t="s">
        <v>6</v>
      </c>
      <c r="K4" s="59"/>
      <c r="L4" s="59"/>
      <c r="M4" s="45"/>
    </row>
    <row r="5" spans="1:12" ht="15">
      <c r="A5" s="46" t="s">
        <v>127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3" ht="12.75">
      <c r="A6" s="7" t="s">
        <v>278</v>
      </c>
      <c r="B6" s="7" t="s">
        <v>279</v>
      </c>
      <c r="C6" s="7" t="s">
        <v>280</v>
      </c>
      <c r="D6" s="7" t="str">
        <f>"0,8870"</f>
        <v>0,8870</v>
      </c>
      <c r="E6" s="7" t="s">
        <v>75</v>
      </c>
      <c r="F6" s="7" t="s">
        <v>76</v>
      </c>
      <c r="G6" s="9" t="s">
        <v>33</v>
      </c>
      <c r="H6" s="9" t="s">
        <v>27</v>
      </c>
      <c r="I6" s="9" t="s">
        <v>286</v>
      </c>
      <c r="J6" s="8"/>
      <c r="K6" s="7" t="str">
        <f>"120,0"</f>
        <v>120,0</v>
      </c>
      <c r="L6" s="9" t="str">
        <f>"106,4340"</f>
        <v>106,4340</v>
      </c>
      <c r="M6" s="7" t="s">
        <v>585</v>
      </c>
    </row>
    <row r="8" spans="5:6" ht="15">
      <c r="E8" s="16" t="s">
        <v>35</v>
      </c>
      <c r="F8" s="4" t="s">
        <v>474</v>
      </c>
    </row>
    <row r="9" spans="5:6" ht="15">
      <c r="E9" s="16" t="s">
        <v>36</v>
      </c>
      <c r="F9" s="4" t="s">
        <v>475</v>
      </c>
    </row>
    <row r="10" spans="5:6" ht="15">
      <c r="E10" s="16" t="s">
        <v>37</v>
      </c>
      <c r="F10" s="4" t="s">
        <v>476</v>
      </c>
    </row>
    <row r="11" spans="5:6" ht="15">
      <c r="E11" s="16" t="s">
        <v>38</v>
      </c>
      <c r="F11" s="4" t="s">
        <v>477</v>
      </c>
    </row>
    <row r="12" spans="5:6" ht="15">
      <c r="E12" s="16" t="s">
        <v>38</v>
      </c>
      <c r="F12" s="4" t="s">
        <v>478</v>
      </c>
    </row>
    <row r="13" spans="5:6" ht="15">
      <c r="E13" s="16" t="s">
        <v>39</v>
      </c>
      <c r="F13" s="4" t="s">
        <v>479</v>
      </c>
    </row>
    <row r="14" ht="15">
      <c r="E14" s="16"/>
    </row>
    <row r="16" spans="1:2" ht="18">
      <c r="A16" s="17" t="s">
        <v>40</v>
      </c>
      <c r="B16" s="17"/>
    </row>
    <row r="17" spans="1:2" ht="15">
      <c r="A17" s="18" t="s">
        <v>41</v>
      </c>
      <c r="B17" s="18"/>
    </row>
    <row r="18" spans="1:2" ht="14.25">
      <c r="A18" s="20"/>
      <c r="B18" s="21" t="s">
        <v>96</v>
      </c>
    </row>
    <row r="19" spans="1:5" ht="15">
      <c r="A19" s="22" t="s">
        <v>43</v>
      </c>
      <c r="B19" s="22" t="s">
        <v>44</v>
      </c>
      <c r="C19" s="22" t="s">
        <v>45</v>
      </c>
      <c r="D19" s="22" t="s">
        <v>46</v>
      </c>
      <c r="E19" s="22" t="s">
        <v>47</v>
      </c>
    </row>
    <row r="20" spans="1:5" ht="12.75">
      <c r="A20" s="19" t="s">
        <v>277</v>
      </c>
      <c r="B20" s="4" t="s">
        <v>96</v>
      </c>
      <c r="C20" s="4" t="s">
        <v>19</v>
      </c>
      <c r="D20" s="4" t="s">
        <v>286</v>
      </c>
      <c r="E20" s="23" t="s">
        <v>473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M6" sqref="M6"/>
    </sheetView>
  </sheetViews>
  <sheetFormatPr defaultColWidth="9.00390625" defaultRowHeight="12.75"/>
  <cols>
    <col min="1" max="1" width="26.00390625" style="4" bestFit="1" customWidth="1"/>
    <col min="2" max="2" width="27.7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1.8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9.25390625" style="4" bestFit="1" customWidth="1"/>
    <col min="14" max="16384" width="9.125" style="3" customWidth="1"/>
  </cols>
  <sheetData>
    <row r="1" spans="1:13" s="2" customFormat="1" ht="28.5" customHeight="1">
      <c r="A1" s="50" t="s">
        <v>464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2" customFormat="1" ht="61.5" customHeight="1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0</v>
      </c>
      <c r="B3" s="58" t="s">
        <v>7</v>
      </c>
      <c r="C3" s="58" t="s">
        <v>8</v>
      </c>
      <c r="D3" s="60" t="s">
        <v>11</v>
      </c>
      <c r="E3" s="60" t="s">
        <v>5</v>
      </c>
      <c r="F3" s="60" t="s">
        <v>9</v>
      </c>
      <c r="G3" s="60" t="s">
        <v>2</v>
      </c>
      <c r="H3" s="60"/>
      <c r="I3" s="60"/>
      <c r="J3" s="60"/>
      <c r="K3" s="60" t="s">
        <v>59</v>
      </c>
      <c r="L3" s="60" t="s">
        <v>4</v>
      </c>
      <c r="M3" s="44" t="s">
        <v>3</v>
      </c>
    </row>
    <row r="4" spans="1:13" s="1" customFormat="1" ht="21" customHeight="1" thickBot="1">
      <c r="A4" s="57"/>
      <c r="B4" s="59"/>
      <c r="C4" s="59"/>
      <c r="D4" s="59"/>
      <c r="E4" s="59"/>
      <c r="F4" s="59"/>
      <c r="G4" s="5">
        <v>1</v>
      </c>
      <c r="H4" s="5">
        <v>2</v>
      </c>
      <c r="I4" s="5">
        <v>3</v>
      </c>
      <c r="J4" s="5" t="s">
        <v>6</v>
      </c>
      <c r="K4" s="59"/>
      <c r="L4" s="59"/>
      <c r="M4" s="45"/>
    </row>
    <row r="5" spans="1:12" ht="15">
      <c r="A5" s="46" t="s">
        <v>78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3" ht="12.75">
      <c r="A6" s="7" t="s">
        <v>466</v>
      </c>
      <c r="B6" s="7" t="s">
        <v>467</v>
      </c>
      <c r="C6" s="7" t="s">
        <v>468</v>
      </c>
      <c r="D6" s="7" t="str">
        <f>"0,5575"</f>
        <v>0,5575</v>
      </c>
      <c r="E6" s="7" t="s">
        <v>273</v>
      </c>
      <c r="F6" s="7" t="s">
        <v>18</v>
      </c>
      <c r="G6" s="9" t="s">
        <v>296</v>
      </c>
      <c r="H6" s="9" t="s">
        <v>469</v>
      </c>
      <c r="I6" s="8" t="s">
        <v>470</v>
      </c>
      <c r="J6" s="8"/>
      <c r="K6" s="7" t="str">
        <f>"245,0"</f>
        <v>245,0</v>
      </c>
      <c r="L6" s="9" t="str">
        <f>"147,5145"</f>
        <v>147,5145</v>
      </c>
      <c r="M6" s="7" t="s">
        <v>589</v>
      </c>
    </row>
    <row r="8" spans="5:6" ht="15">
      <c r="E8" s="16" t="s">
        <v>35</v>
      </c>
      <c r="F8" s="4" t="s">
        <v>474</v>
      </c>
    </row>
    <row r="9" spans="5:6" ht="15">
      <c r="E9" s="16" t="s">
        <v>36</v>
      </c>
      <c r="F9" s="4" t="s">
        <v>475</v>
      </c>
    </row>
    <row r="10" spans="5:6" ht="15">
      <c r="E10" s="16" t="s">
        <v>37</v>
      </c>
      <c r="F10" s="4" t="s">
        <v>476</v>
      </c>
    </row>
    <row r="11" spans="5:6" ht="15">
      <c r="E11" s="16" t="s">
        <v>38</v>
      </c>
      <c r="F11" s="4" t="s">
        <v>477</v>
      </c>
    </row>
    <row r="12" spans="5:6" ht="15">
      <c r="E12" s="16" t="s">
        <v>38</v>
      </c>
      <c r="F12" s="4" t="s">
        <v>478</v>
      </c>
    </row>
    <row r="13" spans="5:6" ht="15">
      <c r="E13" s="16" t="s">
        <v>39</v>
      </c>
      <c r="F13" s="4" t="s">
        <v>479</v>
      </c>
    </row>
    <row r="14" ht="15">
      <c r="E14" s="16"/>
    </row>
    <row r="16" spans="1:2" ht="18">
      <c r="A16" s="17" t="s">
        <v>40</v>
      </c>
      <c r="B16" s="17"/>
    </row>
    <row r="17" spans="1:2" ht="15">
      <c r="A17" s="18" t="s">
        <v>51</v>
      </c>
      <c r="B17" s="18"/>
    </row>
    <row r="18" spans="1:2" ht="14.25">
      <c r="A18" s="20"/>
      <c r="B18" s="21" t="s">
        <v>449</v>
      </c>
    </row>
    <row r="19" spans="1:5" ht="15">
      <c r="A19" s="22" t="s">
        <v>43</v>
      </c>
      <c r="B19" s="22" t="s">
        <v>44</v>
      </c>
      <c r="C19" s="22" t="s">
        <v>45</v>
      </c>
      <c r="D19" s="22" t="s">
        <v>46</v>
      </c>
      <c r="E19" s="22" t="s">
        <v>47</v>
      </c>
    </row>
    <row r="20" spans="1:5" ht="12.75">
      <c r="A20" s="19" t="s">
        <v>465</v>
      </c>
      <c r="B20" s="4" t="s">
        <v>48</v>
      </c>
      <c r="C20" s="4" t="s">
        <v>33</v>
      </c>
      <c r="D20" s="4" t="s">
        <v>469</v>
      </c>
      <c r="E20" s="23" t="s">
        <v>471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99"/>
  <sheetViews>
    <sheetView zoomScalePageLayoutView="0" workbookViewId="0" topLeftCell="A16">
      <selection activeCell="A39" sqref="A39:M40"/>
    </sheetView>
  </sheetViews>
  <sheetFormatPr defaultColWidth="9.00390625" defaultRowHeight="12.75"/>
  <cols>
    <col min="1" max="1" width="26.00390625" style="4" bestFit="1" customWidth="1"/>
    <col min="2" max="2" width="29.00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4.3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5.875" style="4" bestFit="1" customWidth="1"/>
    <col min="14" max="16384" width="9.125" style="3" customWidth="1"/>
  </cols>
  <sheetData>
    <row r="1" spans="1:13" s="2" customFormat="1" ht="28.5" customHeight="1">
      <c r="A1" s="50" t="s">
        <v>345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2" customFormat="1" ht="61.5" customHeight="1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0</v>
      </c>
      <c r="B3" s="58" t="s">
        <v>7</v>
      </c>
      <c r="C3" s="58" t="s">
        <v>8</v>
      </c>
      <c r="D3" s="60" t="s">
        <v>11</v>
      </c>
      <c r="E3" s="60" t="s">
        <v>5</v>
      </c>
      <c r="F3" s="60" t="s">
        <v>9</v>
      </c>
      <c r="G3" s="60" t="s">
        <v>2</v>
      </c>
      <c r="H3" s="60"/>
      <c r="I3" s="60"/>
      <c r="J3" s="60"/>
      <c r="K3" s="60" t="s">
        <v>59</v>
      </c>
      <c r="L3" s="60" t="s">
        <v>4</v>
      </c>
      <c r="M3" s="44" t="s">
        <v>3</v>
      </c>
    </row>
    <row r="4" spans="1:13" s="1" customFormat="1" ht="34.5" customHeight="1" thickBot="1">
      <c r="A4" s="57"/>
      <c r="B4" s="59"/>
      <c r="C4" s="59"/>
      <c r="D4" s="59"/>
      <c r="E4" s="59"/>
      <c r="F4" s="59"/>
      <c r="G4" s="5">
        <v>1</v>
      </c>
      <c r="H4" s="5">
        <v>2</v>
      </c>
      <c r="I4" s="5">
        <v>3</v>
      </c>
      <c r="J4" s="5" t="s">
        <v>6</v>
      </c>
      <c r="K4" s="59"/>
      <c r="L4" s="59"/>
      <c r="M4" s="45"/>
    </row>
    <row r="5" spans="1:12" ht="15">
      <c r="A5" s="46" t="s">
        <v>346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3" ht="12.75">
      <c r="A6" s="7" t="s">
        <v>348</v>
      </c>
      <c r="B6" s="7" t="s">
        <v>349</v>
      </c>
      <c r="C6" s="7" t="s">
        <v>350</v>
      </c>
      <c r="D6" s="7" t="str">
        <f>"1,1089"</f>
        <v>1,1089</v>
      </c>
      <c r="E6" s="7" t="s">
        <v>111</v>
      </c>
      <c r="F6" s="7" t="s">
        <v>18</v>
      </c>
      <c r="G6" s="9" t="s">
        <v>20</v>
      </c>
      <c r="H6" s="8" t="s">
        <v>264</v>
      </c>
      <c r="I6" s="8" t="s">
        <v>264</v>
      </c>
      <c r="J6" s="8"/>
      <c r="K6" s="7" t="str">
        <f>"67,5"</f>
        <v>67,5</v>
      </c>
      <c r="L6" s="9" t="str">
        <f>"92,0664"</f>
        <v>92,0664</v>
      </c>
      <c r="M6" s="7" t="s">
        <v>590</v>
      </c>
    </row>
    <row r="8" spans="1:12" ht="15">
      <c r="A8" s="48" t="s">
        <v>106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3" ht="12.75">
      <c r="A9" s="10" t="s">
        <v>116</v>
      </c>
      <c r="B9" s="10" t="s">
        <v>117</v>
      </c>
      <c r="C9" s="10" t="s">
        <v>118</v>
      </c>
      <c r="D9" s="10" t="str">
        <f>"0,9880"</f>
        <v>0,9880</v>
      </c>
      <c r="E9" s="10" t="s">
        <v>17</v>
      </c>
      <c r="F9" s="10" t="s">
        <v>18</v>
      </c>
      <c r="G9" s="12" t="s">
        <v>34</v>
      </c>
      <c r="H9" s="12" t="s">
        <v>351</v>
      </c>
      <c r="I9" s="11" t="s">
        <v>352</v>
      </c>
      <c r="J9" s="11"/>
      <c r="K9" s="10" t="str">
        <f>"107,5"</f>
        <v>107,5</v>
      </c>
      <c r="L9" s="12" t="str">
        <f>"106,2100"</f>
        <v>106,2100</v>
      </c>
      <c r="M9" s="10" t="s">
        <v>579</v>
      </c>
    </row>
    <row r="10" spans="1:13" ht="12.75">
      <c r="A10" s="13" t="s">
        <v>354</v>
      </c>
      <c r="B10" s="13" t="s">
        <v>355</v>
      </c>
      <c r="C10" s="13" t="s">
        <v>356</v>
      </c>
      <c r="D10" s="13" t="str">
        <f>"0,9960"</f>
        <v>0,9960</v>
      </c>
      <c r="E10" s="13" t="s">
        <v>111</v>
      </c>
      <c r="F10" s="13" t="s">
        <v>18</v>
      </c>
      <c r="G10" s="15" t="s">
        <v>357</v>
      </c>
      <c r="H10" s="15" t="s">
        <v>143</v>
      </c>
      <c r="I10" s="15" t="s">
        <v>34</v>
      </c>
      <c r="J10" s="14"/>
      <c r="K10" s="13" t="str">
        <f>"102,5"</f>
        <v>102,5</v>
      </c>
      <c r="L10" s="15" t="str">
        <f>"102,0900"</f>
        <v>102,0900</v>
      </c>
      <c r="M10" s="13" t="s">
        <v>590</v>
      </c>
    </row>
    <row r="12" spans="1:12" ht="15">
      <c r="A12" s="48" t="s">
        <v>12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</row>
    <row r="13" spans="1:13" ht="12.75">
      <c r="A13" s="10" t="s">
        <v>123</v>
      </c>
      <c r="B13" s="10" t="s">
        <v>124</v>
      </c>
      <c r="C13" s="10" t="s">
        <v>125</v>
      </c>
      <c r="D13" s="10" t="str">
        <f>"0,9312"</f>
        <v>0,9312</v>
      </c>
      <c r="E13" s="10" t="s">
        <v>17</v>
      </c>
      <c r="F13" s="10" t="s">
        <v>18</v>
      </c>
      <c r="G13" s="12" t="s">
        <v>27</v>
      </c>
      <c r="H13" s="12" t="s">
        <v>67</v>
      </c>
      <c r="I13" s="11"/>
      <c r="J13" s="11"/>
      <c r="K13" s="10" t="str">
        <f>"125,0"</f>
        <v>125,0</v>
      </c>
      <c r="L13" s="12" t="str">
        <f>"131,5320"</f>
        <v>131,5320</v>
      </c>
      <c r="M13" s="10" t="s">
        <v>591</v>
      </c>
    </row>
    <row r="14" spans="1:13" ht="12.75">
      <c r="A14" s="13" t="s">
        <v>359</v>
      </c>
      <c r="B14" s="13" t="s">
        <v>360</v>
      </c>
      <c r="C14" s="13" t="s">
        <v>361</v>
      </c>
      <c r="D14" s="13" t="str">
        <f>"0,9470"</f>
        <v>0,9470</v>
      </c>
      <c r="E14" s="13" t="s">
        <v>17</v>
      </c>
      <c r="F14" s="13" t="s">
        <v>18</v>
      </c>
      <c r="G14" s="15" t="s">
        <v>362</v>
      </c>
      <c r="H14" s="15" t="s">
        <v>363</v>
      </c>
      <c r="I14" s="15" t="s">
        <v>33</v>
      </c>
      <c r="J14" s="14"/>
      <c r="K14" s="13" t="str">
        <f>"100,0"</f>
        <v>100,0</v>
      </c>
      <c r="L14" s="15" t="str">
        <f>"94,6950"</f>
        <v>94,6950</v>
      </c>
      <c r="M14" s="13" t="s">
        <v>579</v>
      </c>
    </row>
    <row r="16" spans="1:12" ht="15">
      <c r="A16" s="48" t="s">
        <v>127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</row>
    <row r="17" spans="1:13" ht="12.75">
      <c r="A17" s="10" t="s">
        <v>365</v>
      </c>
      <c r="B17" s="10" t="s">
        <v>366</v>
      </c>
      <c r="C17" s="10" t="s">
        <v>367</v>
      </c>
      <c r="D17" s="10" t="str">
        <f>"0,8744"</f>
        <v>0,8744</v>
      </c>
      <c r="E17" s="10" t="s">
        <v>111</v>
      </c>
      <c r="F17" s="10" t="s">
        <v>18</v>
      </c>
      <c r="G17" s="12" t="s">
        <v>68</v>
      </c>
      <c r="H17" s="11" t="s">
        <v>150</v>
      </c>
      <c r="I17" s="11" t="s">
        <v>150</v>
      </c>
      <c r="J17" s="11"/>
      <c r="K17" s="10" t="str">
        <f>"130,0"</f>
        <v>130,0</v>
      </c>
      <c r="L17" s="12" t="str">
        <f>"120,4923"</f>
        <v>120,4923</v>
      </c>
      <c r="M17" s="10" t="s">
        <v>590</v>
      </c>
    </row>
    <row r="18" spans="1:13" ht="12.75">
      <c r="A18" s="13" t="s">
        <v>369</v>
      </c>
      <c r="B18" s="13" t="s">
        <v>370</v>
      </c>
      <c r="C18" s="13" t="s">
        <v>371</v>
      </c>
      <c r="D18" s="13" t="str">
        <f>"0,8781"</f>
        <v>0,8781</v>
      </c>
      <c r="E18" s="13" t="s">
        <v>583</v>
      </c>
      <c r="F18" s="13" t="s">
        <v>83</v>
      </c>
      <c r="G18" s="15" t="s">
        <v>372</v>
      </c>
      <c r="H18" s="15" t="s">
        <v>352</v>
      </c>
      <c r="I18" s="15" t="s">
        <v>28</v>
      </c>
      <c r="J18" s="14"/>
      <c r="K18" s="13" t="str">
        <f>"117,5"</f>
        <v>117,5</v>
      </c>
      <c r="L18" s="15" t="str">
        <f>"103,1826"</f>
        <v>103,1826</v>
      </c>
      <c r="M18" s="13" t="s">
        <v>592</v>
      </c>
    </row>
    <row r="20" spans="1:12" ht="15">
      <c r="A20" s="48" t="s">
        <v>61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</row>
    <row r="21" spans="1:13" ht="12.75">
      <c r="A21" s="10" t="s">
        <v>374</v>
      </c>
      <c r="B21" s="10" t="s">
        <v>375</v>
      </c>
      <c r="C21" s="10" t="s">
        <v>376</v>
      </c>
      <c r="D21" s="10" t="str">
        <f>"0,8047"</f>
        <v>0,8047</v>
      </c>
      <c r="E21" s="10" t="s">
        <v>17</v>
      </c>
      <c r="F21" s="10" t="s">
        <v>593</v>
      </c>
      <c r="G21" s="12" t="s">
        <v>372</v>
      </c>
      <c r="H21" s="12" t="s">
        <v>377</v>
      </c>
      <c r="I21" s="12" t="s">
        <v>286</v>
      </c>
      <c r="J21" s="11"/>
      <c r="K21" s="10" t="str">
        <f>"120,0"</f>
        <v>120,0</v>
      </c>
      <c r="L21" s="12" t="str">
        <f>"113,9455"</f>
        <v>113,9455</v>
      </c>
      <c r="M21" s="10" t="s">
        <v>591</v>
      </c>
    </row>
    <row r="22" spans="1:13" ht="12.75">
      <c r="A22" s="13" t="s">
        <v>379</v>
      </c>
      <c r="B22" s="13" t="s">
        <v>380</v>
      </c>
      <c r="C22" s="13" t="s">
        <v>381</v>
      </c>
      <c r="D22" s="13" t="str">
        <f>"0,8364"</f>
        <v>0,8364</v>
      </c>
      <c r="E22" s="13" t="s">
        <v>111</v>
      </c>
      <c r="F22" s="13" t="s">
        <v>18</v>
      </c>
      <c r="G22" s="15" t="s">
        <v>265</v>
      </c>
      <c r="H22" s="15" t="s">
        <v>382</v>
      </c>
      <c r="I22" s="15" t="s">
        <v>27</v>
      </c>
      <c r="J22" s="14"/>
      <c r="K22" s="13" t="str">
        <f>"110,0"</f>
        <v>110,0</v>
      </c>
      <c r="L22" s="15" t="str">
        <f>"98,3523"</f>
        <v>98,3523</v>
      </c>
      <c r="M22" s="13" t="s">
        <v>590</v>
      </c>
    </row>
    <row r="24" spans="1:12" ht="15">
      <c r="A24" s="48" t="s">
        <v>61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  <row r="25" spans="1:13" ht="12.75">
      <c r="A25" s="10" t="s">
        <v>384</v>
      </c>
      <c r="B25" s="10" t="s">
        <v>385</v>
      </c>
      <c r="C25" s="10" t="s">
        <v>386</v>
      </c>
      <c r="D25" s="10" t="str">
        <f>"0,7671"</f>
        <v>0,7671</v>
      </c>
      <c r="E25" s="10" t="s">
        <v>111</v>
      </c>
      <c r="F25" s="10" t="s">
        <v>18</v>
      </c>
      <c r="G25" s="12" t="s">
        <v>68</v>
      </c>
      <c r="H25" s="12" t="s">
        <v>158</v>
      </c>
      <c r="I25" s="12" t="s">
        <v>387</v>
      </c>
      <c r="J25" s="11"/>
      <c r="K25" s="10" t="str">
        <f>"147,5"</f>
        <v>147,5</v>
      </c>
      <c r="L25" s="12" t="str">
        <f>"127,8564"</f>
        <v>127,8564</v>
      </c>
      <c r="M25" s="10" t="s">
        <v>590</v>
      </c>
    </row>
    <row r="26" spans="1:13" ht="12.75">
      <c r="A26" s="13" t="s">
        <v>389</v>
      </c>
      <c r="B26" s="13" t="s">
        <v>390</v>
      </c>
      <c r="C26" s="13" t="s">
        <v>391</v>
      </c>
      <c r="D26" s="13" t="str">
        <f>"0,7287"</f>
        <v>0,7287</v>
      </c>
      <c r="E26" s="13" t="s">
        <v>17</v>
      </c>
      <c r="F26" s="13" t="s">
        <v>83</v>
      </c>
      <c r="G26" s="15" t="s">
        <v>230</v>
      </c>
      <c r="H26" s="14" t="s">
        <v>199</v>
      </c>
      <c r="I26" s="14" t="s">
        <v>199</v>
      </c>
      <c r="J26" s="14"/>
      <c r="K26" s="13" t="str">
        <f>"170,0"</f>
        <v>170,0</v>
      </c>
      <c r="L26" s="15" t="str">
        <f>"123,8790"</f>
        <v>123,8790</v>
      </c>
      <c r="M26" s="13" t="s">
        <v>586</v>
      </c>
    </row>
    <row r="28" spans="1:12" ht="15">
      <c r="A28" s="48" t="s">
        <v>22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</row>
    <row r="29" spans="1:13" ht="12.75">
      <c r="A29" s="10" t="s">
        <v>393</v>
      </c>
      <c r="B29" s="10" t="s">
        <v>394</v>
      </c>
      <c r="C29" s="10" t="s">
        <v>395</v>
      </c>
      <c r="D29" s="10" t="str">
        <f>"0,6347"</f>
        <v>0,6347</v>
      </c>
      <c r="E29" s="10" t="s">
        <v>111</v>
      </c>
      <c r="F29" s="10" t="s">
        <v>18</v>
      </c>
      <c r="G29" s="12" t="s">
        <v>198</v>
      </c>
      <c r="H29" s="12" t="s">
        <v>396</v>
      </c>
      <c r="I29" s="11" t="s">
        <v>95</v>
      </c>
      <c r="J29" s="11"/>
      <c r="K29" s="10" t="str">
        <f>"187,5"</f>
        <v>187,5</v>
      </c>
      <c r="L29" s="12" t="str">
        <f>"119,0063"</f>
        <v>119,0063</v>
      </c>
      <c r="M29" s="10" t="s">
        <v>590</v>
      </c>
    </row>
    <row r="30" spans="1:13" ht="12.75">
      <c r="A30" s="24" t="s">
        <v>398</v>
      </c>
      <c r="B30" s="24" t="s">
        <v>399</v>
      </c>
      <c r="C30" s="24" t="s">
        <v>26</v>
      </c>
      <c r="D30" s="24" t="str">
        <f>"0,6329"</f>
        <v>0,6329</v>
      </c>
      <c r="E30" s="24" t="s">
        <v>17</v>
      </c>
      <c r="F30" s="24" t="s">
        <v>18</v>
      </c>
      <c r="G30" s="26" t="s">
        <v>84</v>
      </c>
      <c r="H30" s="26" t="s">
        <v>230</v>
      </c>
      <c r="I30" s="26" t="s">
        <v>231</v>
      </c>
      <c r="J30" s="25"/>
      <c r="K30" s="24" t="str">
        <f>"177,5"</f>
        <v>177,5</v>
      </c>
      <c r="L30" s="26" t="str">
        <f>"112,3397"</f>
        <v>112,3397</v>
      </c>
      <c r="M30" s="24" t="s">
        <v>594</v>
      </c>
    </row>
    <row r="31" spans="1:13" ht="12.75">
      <c r="A31" s="13" t="s">
        <v>401</v>
      </c>
      <c r="B31" s="13" t="s">
        <v>402</v>
      </c>
      <c r="C31" s="13" t="s">
        <v>403</v>
      </c>
      <c r="D31" s="13" t="str">
        <f>"0,6287"</f>
        <v>0,6287</v>
      </c>
      <c r="E31" s="13" t="s">
        <v>17</v>
      </c>
      <c r="F31" s="13" t="s">
        <v>18</v>
      </c>
      <c r="G31" s="15" t="s">
        <v>77</v>
      </c>
      <c r="H31" s="15" t="s">
        <v>84</v>
      </c>
      <c r="I31" s="15" t="s">
        <v>230</v>
      </c>
      <c r="J31" s="14"/>
      <c r="K31" s="13" t="str">
        <f>"170,0"</f>
        <v>170,0</v>
      </c>
      <c r="L31" s="15" t="str">
        <f>"106,8790"</f>
        <v>106,8790</v>
      </c>
      <c r="M31" s="13" t="s">
        <v>221</v>
      </c>
    </row>
    <row r="33" spans="1:12" ht="15">
      <c r="A33" s="48" t="s">
        <v>168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</row>
    <row r="34" spans="1:13" ht="12.75">
      <c r="A34" s="10" t="s">
        <v>405</v>
      </c>
      <c r="B34" s="10" t="s">
        <v>406</v>
      </c>
      <c r="C34" s="10" t="s">
        <v>407</v>
      </c>
      <c r="D34" s="10" t="str">
        <f>"0,5965"</f>
        <v>0,5965</v>
      </c>
      <c r="E34" s="10" t="s">
        <v>17</v>
      </c>
      <c r="F34" s="10" t="s">
        <v>18</v>
      </c>
      <c r="G34" s="12" t="s">
        <v>321</v>
      </c>
      <c r="H34" s="11" t="s">
        <v>408</v>
      </c>
      <c r="I34" s="11" t="s">
        <v>408</v>
      </c>
      <c r="J34" s="11"/>
      <c r="K34" s="10" t="str">
        <f>"200,0"</f>
        <v>200,0</v>
      </c>
      <c r="L34" s="12" t="str">
        <f>"119,3000"</f>
        <v>119,3000</v>
      </c>
      <c r="M34" s="10" t="s">
        <v>586</v>
      </c>
    </row>
    <row r="35" spans="1:13" ht="12.75">
      <c r="A35" s="24" t="s">
        <v>410</v>
      </c>
      <c r="B35" s="24" t="s">
        <v>411</v>
      </c>
      <c r="C35" s="24" t="s">
        <v>412</v>
      </c>
      <c r="D35" s="24" t="str">
        <f>"0,5912"</f>
        <v>0,5912</v>
      </c>
      <c r="E35" s="24" t="s">
        <v>111</v>
      </c>
      <c r="F35" s="24" t="s">
        <v>18</v>
      </c>
      <c r="G35" s="26" t="s">
        <v>321</v>
      </c>
      <c r="H35" s="25" t="s">
        <v>413</v>
      </c>
      <c r="I35" s="25" t="s">
        <v>413</v>
      </c>
      <c r="J35" s="25"/>
      <c r="K35" s="24" t="str">
        <f>"200,0"</f>
        <v>200,0</v>
      </c>
      <c r="L35" s="26" t="str">
        <f>"118,2400"</f>
        <v>118,2400</v>
      </c>
      <c r="M35" s="24" t="s">
        <v>586</v>
      </c>
    </row>
    <row r="36" spans="1:13" ht="12.75">
      <c r="A36" s="13" t="s">
        <v>415</v>
      </c>
      <c r="B36" s="13" t="s">
        <v>416</v>
      </c>
      <c r="C36" s="13" t="s">
        <v>417</v>
      </c>
      <c r="D36" s="13" t="str">
        <f>"0,5973"</f>
        <v>0,5973</v>
      </c>
      <c r="E36" s="13" t="s">
        <v>141</v>
      </c>
      <c r="F36" s="13" t="s">
        <v>142</v>
      </c>
      <c r="G36" s="15" t="s">
        <v>173</v>
      </c>
      <c r="H36" s="15" t="s">
        <v>198</v>
      </c>
      <c r="I36" s="15" t="s">
        <v>93</v>
      </c>
      <c r="J36" s="14"/>
      <c r="K36" s="13" t="str">
        <f>"175,0"</f>
        <v>175,0</v>
      </c>
      <c r="L36" s="15" t="str">
        <f>"160,4497"</f>
        <v>160,4497</v>
      </c>
      <c r="M36" s="13" t="s">
        <v>144</v>
      </c>
    </row>
    <row r="38" spans="1:12" ht="15">
      <c r="A38" s="48" t="s">
        <v>78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</row>
    <row r="39" spans="1:13" ht="12.75">
      <c r="A39" s="10" t="s">
        <v>419</v>
      </c>
      <c r="B39" s="10" t="s">
        <v>420</v>
      </c>
      <c r="C39" s="10" t="s">
        <v>421</v>
      </c>
      <c r="D39" s="10" t="str">
        <f>"0,5619"</f>
        <v>0,5619</v>
      </c>
      <c r="E39" s="10" t="s">
        <v>17</v>
      </c>
      <c r="F39" s="10" t="s">
        <v>18</v>
      </c>
      <c r="G39" s="12" t="s">
        <v>295</v>
      </c>
      <c r="H39" s="12" t="s">
        <v>296</v>
      </c>
      <c r="I39" s="12" t="s">
        <v>422</v>
      </c>
      <c r="J39" s="11"/>
      <c r="K39" s="10" t="str">
        <f>"235,0"</f>
        <v>235,0</v>
      </c>
      <c r="L39" s="12" t="str">
        <f>"132,0465"</f>
        <v>132,0465</v>
      </c>
      <c r="M39" s="10" t="s">
        <v>594</v>
      </c>
    </row>
    <row r="40" spans="1:13" ht="12.75">
      <c r="A40" s="24" t="s">
        <v>419</v>
      </c>
      <c r="B40" s="24" t="s">
        <v>423</v>
      </c>
      <c r="C40" s="24" t="s">
        <v>421</v>
      </c>
      <c r="D40" s="24" t="str">
        <f>"0,5619"</f>
        <v>0,5619</v>
      </c>
      <c r="E40" s="24" t="s">
        <v>17</v>
      </c>
      <c r="F40" s="24" t="s">
        <v>18</v>
      </c>
      <c r="G40" s="26" t="s">
        <v>295</v>
      </c>
      <c r="H40" s="26" t="s">
        <v>296</v>
      </c>
      <c r="I40" s="26" t="s">
        <v>422</v>
      </c>
      <c r="J40" s="25"/>
      <c r="K40" s="24" t="str">
        <f>"235,0"</f>
        <v>235,0</v>
      </c>
      <c r="L40" s="26" t="str">
        <f>"136,1399"</f>
        <v>136,1399</v>
      </c>
      <c r="M40" s="24" t="s">
        <v>594</v>
      </c>
    </row>
    <row r="41" spans="1:13" ht="12.75">
      <c r="A41" s="24" t="s">
        <v>425</v>
      </c>
      <c r="B41" s="24" t="s">
        <v>426</v>
      </c>
      <c r="C41" s="24" t="s">
        <v>427</v>
      </c>
      <c r="D41" s="24" t="str">
        <f>"0,5775"</f>
        <v>0,5775</v>
      </c>
      <c r="E41" s="24" t="s">
        <v>17</v>
      </c>
      <c r="F41" s="24" t="s">
        <v>149</v>
      </c>
      <c r="G41" s="26" t="s">
        <v>408</v>
      </c>
      <c r="H41" s="26" t="s">
        <v>413</v>
      </c>
      <c r="I41" s="26" t="s">
        <v>296</v>
      </c>
      <c r="J41" s="25"/>
      <c r="K41" s="24" t="str">
        <f>"230,0"</f>
        <v>230,0</v>
      </c>
      <c r="L41" s="26" t="str">
        <f>"132,8250"</f>
        <v>132,8250</v>
      </c>
      <c r="M41" s="24" t="s">
        <v>586</v>
      </c>
    </row>
    <row r="42" spans="1:13" ht="12.75">
      <c r="A42" s="13" t="s">
        <v>429</v>
      </c>
      <c r="B42" s="13" t="s">
        <v>430</v>
      </c>
      <c r="C42" s="13" t="s">
        <v>431</v>
      </c>
      <c r="D42" s="13" t="str">
        <f>"0,5678"</f>
        <v>0,5678</v>
      </c>
      <c r="E42" s="13" t="s">
        <v>595</v>
      </c>
      <c r="F42" s="13" t="s">
        <v>432</v>
      </c>
      <c r="G42" s="15" t="s">
        <v>95</v>
      </c>
      <c r="H42" s="14" t="s">
        <v>413</v>
      </c>
      <c r="I42" s="14" t="s">
        <v>413</v>
      </c>
      <c r="J42" s="14"/>
      <c r="K42" s="13" t="str">
        <f>"195,0"</f>
        <v>195,0</v>
      </c>
      <c r="L42" s="15" t="str">
        <f>"111,0532"</f>
        <v>111,0532</v>
      </c>
      <c r="M42" s="13" t="s">
        <v>586</v>
      </c>
    </row>
    <row r="44" spans="1:12" ht="15">
      <c r="A44" s="48" t="s">
        <v>215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</row>
    <row r="45" spans="1:13" ht="12.75">
      <c r="A45" s="10" t="s">
        <v>434</v>
      </c>
      <c r="B45" s="10" t="s">
        <v>435</v>
      </c>
      <c r="C45" s="10" t="s">
        <v>436</v>
      </c>
      <c r="D45" s="10" t="str">
        <f>"0,5405"</f>
        <v>0,5405</v>
      </c>
      <c r="E45" s="10" t="s">
        <v>141</v>
      </c>
      <c r="F45" s="10" t="s">
        <v>142</v>
      </c>
      <c r="G45" s="12" t="s">
        <v>437</v>
      </c>
      <c r="H45" s="12" t="s">
        <v>311</v>
      </c>
      <c r="I45" s="12" t="s">
        <v>312</v>
      </c>
      <c r="J45" s="11"/>
      <c r="K45" s="10" t="str">
        <f>"232,5"</f>
        <v>232,5</v>
      </c>
      <c r="L45" s="12" t="str">
        <f>"125,6662"</f>
        <v>125,6662</v>
      </c>
      <c r="M45" s="10" t="s">
        <v>144</v>
      </c>
    </row>
    <row r="46" spans="1:13" ht="12.75">
      <c r="A46" s="13" t="s">
        <v>434</v>
      </c>
      <c r="B46" s="13" t="s">
        <v>438</v>
      </c>
      <c r="C46" s="13" t="s">
        <v>436</v>
      </c>
      <c r="D46" s="13" t="str">
        <f>"0,5405"</f>
        <v>0,5405</v>
      </c>
      <c r="E46" s="13" t="s">
        <v>141</v>
      </c>
      <c r="F46" s="13" t="s">
        <v>142</v>
      </c>
      <c r="G46" s="15" t="s">
        <v>437</v>
      </c>
      <c r="H46" s="15" t="s">
        <v>311</v>
      </c>
      <c r="I46" s="15" t="s">
        <v>312</v>
      </c>
      <c r="J46" s="14"/>
      <c r="K46" s="13" t="str">
        <f>"232,5"</f>
        <v>232,5</v>
      </c>
      <c r="L46" s="15" t="str">
        <f>"127,9282"</f>
        <v>127,9282</v>
      </c>
      <c r="M46" s="13" t="s">
        <v>144</v>
      </c>
    </row>
    <row r="48" spans="5:6" ht="15">
      <c r="E48" s="16" t="s">
        <v>35</v>
      </c>
      <c r="F48" s="4" t="s">
        <v>474</v>
      </c>
    </row>
    <row r="49" spans="5:6" ht="15">
      <c r="E49" s="16" t="s">
        <v>36</v>
      </c>
      <c r="F49" s="4" t="s">
        <v>475</v>
      </c>
    </row>
    <row r="50" spans="5:6" ht="15">
      <c r="E50" s="16" t="s">
        <v>37</v>
      </c>
      <c r="F50" s="4" t="s">
        <v>476</v>
      </c>
    </row>
    <row r="51" spans="5:6" ht="15">
      <c r="E51" s="16" t="s">
        <v>38</v>
      </c>
      <c r="F51" s="4" t="s">
        <v>477</v>
      </c>
    </row>
    <row r="52" spans="5:6" ht="15">
      <c r="E52" s="16" t="s">
        <v>38</v>
      </c>
      <c r="F52" s="4" t="s">
        <v>478</v>
      </c>
    </row>
    <row r="53" spans="5:6" ht="15">
      <c r="E53" s="16" t="s">
        <v>39</v>
      </c>
      <c r="F53" s="4" t="s">
        <v>479</v>
      </c>
    </row>
    <row r="54" ht="15">
      <c r="E54" s="16"/>
    </row>
    <row r="56" spans="1:2" ht="18">
      <c r="A56" s="17" t="s">
        <v>40</v>
      </c>
      <c r="B56" s="17"/>
    </row>
    <row r="57" spans="1:2" ht="15">
      <c r="A57" s="18" t="s">
        <v>41</v>
      </c>
      <c r="B57" s="18"/>
    </row>
    <row r="58" spans="1:2" ht="14.25">
      <c r="A58" s="20"/>
      <c r="B58" s="21" t="s">
        <v>42</v>
      </c>
    </row>
    <row r="59" spans="1:5" ht="15">
      <c r="A59" s="22" t="s">
        <v>43</v>
      </c>
      <c r="B59" s="22" t="s">
        <v>44</v>
      </c>
      <c r="C59" s="22" t="s">
        <v>45</v>
      </c>
      <c r="D59" s="22" t="s">
        <v>46</v>
      </c>
      <c r="E59" s="22" t="s">
        <v>47</v>
      </c>
    </row>
    <row r="60" spans="1:5" ht="12.75">
      <c r="A60" s="19" t="s">
        <v>122</v>
      </c>
      <c r="B60" s="4" t="s">
        <v>48</v>
      </c>
      <c r="C60" s="4" t="s">
        <v>49</v>
      </c>
      <c r="D60" s="4" t="s">
        <v>67</v>
      </c>
      <c r="E60" s="23" t="s">
        <v>439</v>
      </c>
    </row>
    <row r="61" spans="1:5" ht="12.75">
      <c r="A61" s="19" t="s">
        <v>364</v>
      </c>
      <c r="B61" s="4" t="s">
        <v>236</v>
      </c>
      <c r="C61" s="4" t="s">
        <v>19</v>
      </c>
      <c r="D61" s="4" t="s">
        <v>68</v>
      </c>
      <c r="E61" s="23" t="s">
        <v>440</v>
      </c>
    </row>
    <row r="62" spans="1:5" ht="12.75">
      <c r="A62" s="19" t="s">
        <v>373</v>
      </c>
      <c r="B62" s="4" t="s">
        <v>233</v>
      </c>
      <c r="C62" s="4" t="s">
        <v>20</v>
      </c>
      <c r="D62" s="4" t="s">
        <v>286</v>
      </c>
      <c r="E62" s="23" t="s">
        <v>441</v>
      </c>
    </row>
    <row r="63" spans="1:5" ht="12.75">
      <c r="A63" s="19" t="s">
        <v>347</v>
      </c>
      <c r="B63" s="4" t="s">
        <v>233</v>
      </c>
      <c r="C63" s="4" t="s">
        <v>442</v>
      </c>
      <c r="D63" s="4" t="s">
        <v>20</v>
      </c>
      <c r="E63" s="23" t="s">
        <v>443</v>
      </c>
    </row>
    <row r="65" spans="1:2" ht="14.25">
      <c r="A65" s="20"/>
      <c r="B65" s="21" t="s">
        <v>96</v>
      </c>
    </row>
    <row r="66" spans="1:5" ht="15">
      <c r="A66" s="22" t="s">
        <v>43</v>
      </c>
      <c r="B66" s="22" t="s">
        <v>44</v>
      </c>
      <c r="C66" s="22" t="s">
        <v>45</v>
      </c>
      <c r="D66" s="22" t="s">
        <v>46</v>
      </c>
      <c r="E66" s="22" t="s">
        <v>47</v>
      </c>
    </row>
    <row r="67" spans="1:5" ht="12.75">
      <c r="A67" s="19" t="s">
        <v>115</v>
      </c>
      <c r="B67" s="4" t="s">
        <v>96</v>
      </c>
      <c r="C67" s="4" t="s">
        <v>234</v>
      </c>
      <c r="D67" s="4" t="s">
        <v>351</v>
      </c>
      <c r="E67" s="23" t="s">
        <v>444</v>
      </c>
    </row>
    <row r="68" spans="1:5" ht="12.75">
      <c r="A68" s="19" t="s">
        <v>368</v>
      </c>
      <c r="B68" s="4" t="s">
        <v>96</v>
      </c>
      <c r="C68" s="4" t="s">
        <v>19</v>
      </c>
      <c r="D68" s="4" t="s">
        <v>28</v>
      </c>
      <c r="E68" s="23" t="s">
        <v>445</v>
      </c>
    </row>
    <row r="69" spans="1:5" ht="12.75">
      <c r="A69" s="19" t="s">
        <v>353</v>
      </c>
      <c r="B69" s="4" t="s">
        <v>96</v>
      </c>
      <c r="C69" s="4" t="s">
        <v>234</v>
      </c>
      <c r="D69" s="4" t="s">
        <v>34</v>
      </c>
      <c r="E69" s="23" t="s">
        <v>446</v>
      </c>
    </row>
    <row r="70" spans="1:5" ht="12.75">
      <c r="A70" s="19" t="s">
        <v>358</v>
      </c>
      <c r="B70" s="4" t="s">
        <v>96</v>
      </c>
      <c r="C70" s="4" t="s">
        <v>49</v>
      </c>
      <c r="D70" s="4" t="s">
        <v>33</v>
      </c>
      <c r="E70" s="23" t="s">
        <v>447</v>
      </c>
    </row>
    <row r="72" spans="1:2" ht="14.25">
      <c r="A72" s="20"/>
      <c r="B72" s="21" t="s">
        <v>56</v>
      </c>
    </row>
    <row r="73" spans="1:5" ht="15">
      <c r="A73" s="22" t="s">
        <v>43</v>
      </c>
      <c r="B73" s="22" t="s">
        <v>44</v>
      </c>
      <c r="C73" s="22" t="s">
        <v>45</v>
      </c>
      <c r="D73" s="22" t="s">
        <v>46</v>
      </c>
      <c r="E73" s="22" t="s">
        <v>47</v>
      </c>
    </row>
    <row r="74" spans="1:5" ht="12.75">
      <c r="A74" s="19" t="s">
        <v>378</v>
      </c>
      <c r="B74" s="4" t="s">
        <v>103</v>
      </c>
      <c r="C74" s="4" t="s">
        <v>20</v>
      </c>
      <c r="D74" s="4" t="s">
        <v>27</v>
      </c>
      <c r="E74" s="23" t="s">
        <v>448</v>
      </c>
    </row>
    <row r="77" spans="1:2" ht="15">
      <c r="A77" s="18" t="s">
        <v>51</v>
      </c>
      <c r="B77" s="18"/>
    </row>
    <row r="78" spans="1:2" ht="14.25">
      <c r="A78" s="20"/>
      <c r="B78" s="21" t="s">
        <v>449</v>
      </c>
    </row>
    <row r="79" spans="1:5" ht="15">
      <c r="A79" s="22" t="s">
        <v>43</v>
      </c>
      <c r="B79" s="22" t="s">
        <v>44</v>
      </c>
      <c r="C79" s="22" t="s">
        <v>45</v>
      </c>
      <c r="D79" s="22" t="s">
        <v>46</v>
      </c>
      <c r="E79" s="22" t="s">
        <v>47</v>
      </c>
    </row>
    <row r="80" spans="1:5" ht="12.75">
      <c r="A80" s="19" t="s">
        <v>383</v>
      </c>
      <c r="B80" s="4" t="s">
        <v>48</v>
      </c>
      <c r="C80" s="4" t="s">
        <v>20</v>
      </c>
      <c r="D80" s="4" t="s">
        <v>387</v>
      </c>
      <c r="E80" s="23" t="s">
        <v>450</v>
      </c>
    </row>
    <row r="82" spans="1:2" ht="14.25">
      <c r="A82" s="20"/>
      <c r="B82" s="21" t="s">
        <v>96</v>
      </c>
    </row>
    <row r="83" spans="1:5" ht="15">
      <c r="A83" s="22" t="s">
        <v>43</v>
      </c>
      <c r="B83" s="22" t="s">
        <v>44</v>
      </c>
      <c r="C83" s="22" t="s">
        <v>45</v>
      </c>
      <c r="D83" s="22" t="s">
        <v>46</v>
      </c>
      <c r="E83" s="22" t="s">
        <v>47</v>
      </c>
    </row>
    <row r="84" spans="1:5" ht="12.75">
      <c r="A84" s="19" t="s">
        <v>418</v>
      </c>
      <c r="B84" s="4" t="s">
        <v>96</v>
      </c>
      <c r="C84" s="4" t="s">
        <v>33</v>
      </c>
      <c r="D84" s="4" t="s">
        <v>422</v>
      </c>
      <c r="E84" s="23" t="s">
        <v>451</v>
      </c>
    </row>
    <row r="85" spans="1:5" ht="12.75">
      <c r="A85" s="19" t="s">
        <v>433</v>
      </c>
      <c r="B85" s="4" t="s">
        <v>96</v>
      </c>
      <c r="C85" s="4" t="s">
        <v>27</v>
      </c>
      <c r="D85" s="4" t="s">
        <v>312</v>
      </c>
      <c r="E85" s="23" t="s">
        <v>452</v>
      </c>
    </row>
    <row r="86" spans="1:5" ht="12.75">
      <c r="A86" s="19" t="s">
        <v>388</v>
      </c>
      <c r="B86" s="4" t="s">
        <v>96</v>
      </c>
      <c r="C86" s="4" t="s">
        <v>20</v>
      </c>
      <c r="D86" s="4" t="s">
        <v>230</v>
      </c>
      <c r="E86" s="23" t="s">
        <v>453</v>
      </c>
    </row>
    <row r="87" spans="1:5" ht="12.75">
      <c r="A87" s="19" t="s">
        <v>404</v>
      </c>
      <c r="B87" s="4" t="s">
        <v>96</v>
      </c>
      <c r="C87" s="4" t="s">
        <v>143</v>
      </c>
      <c r="D87" s="4" t="s">
        <v>321</v>
      </c>
      <c r="E87" s="23" t="s">
        <v>454</v>
      </c>
    </row>
    <row r="88" spans="1:5" ht="12.75">
      <c r="A88" s="19" t="s">
        <v>392</v>
      </c>
      <c r="B88" s="4" t="s">
        <v>96</v>
      </c>
      <c r="C88" s="4" t="s">
        <v>54</v>
      </c>
      <c r="D88" s="4" t="s">
        <v>396</v>
      </c>
      <c r="E88" s="23" t="s">
        <v>455</v>
      </c>
    </row>
    <row r="89" spans="1:5" ht="12.75">
      <c r="A89" s="19" t="s">
        <v>409</v>
      </c>
      <c r="B89" s="4" t="s">
        <v>96</v>
      </c>
      <c r="C89" s="4" t="s">
        <v>143</v>
      </c>
      <c r="D89" s="4" t="s">
        <v>321</v>
      </c>
      <c r="E89" s="23" t="s">
        <v>456</v>
      </c>
    </row>
    <row r="90" spans="1:5" ht="12.75">
      <c r="A90" s="19" t="s">
        <v>397</v>
      </c>
      <c r="B90" s="4" t="s">
        <v>96</v>
      </c>
      <c r="C90" s="4" t="s">
        <v>54</v>
      </c>
      <c r="D90" s="4" t="s">
        <v>231</v>
      </c>
      <c r="E90" s="23" t="s">
        <v>457</v>
      </c>
    </row>
    <row r="91" spans="1:5" ht="12.75">
      <c r="A91" s="19" t="s">
        <v>400</v>
      </c>
      <c r="B91" s="4" t="s">
        <v>96</v>
      </c>
      <c r="C91" s="4" t="s">
        <v>54</v>
      </c>
      <c r="D91" s="4" t="s">
        <v>230</v>
      </c>
      <c r="E91" s="23" t="s">
        <v>458</v>
      </c>
    </row>
    <row r="93" spans="1:2" ht="14.25">
      <c r="A93" s="20"/>
      <c r="B93" s="21" t="s">
        <v>56</v>
      </c>
    </row>
    <row r="94" spans="1:5" ht="15">
      <c r="A94" s="22" t="s">
        <v>43</v>
      </c>
      <c r="B94" s="22" t="s">
        <v>44</v>
      </c>
      <c r="C94" s="22" t="s">
        <v>45</v>
      </c>
      <c r="D94" s="22" t="s">
        <v>46</v>
      </c>
      <c r="E94" s="22" t="s">
        <v>47</v>
      </c>
    </row>
    <row r="95" spans="1:5" ht="12.75">
      <c r="A95" s="19" t="s">
        <v>414</v>
      </c>
      <c r="B95" s="4" t="s">
        <v>57</v>
      </c>
      <c r="C95" s="4" t="s">
        <v>143</v>
      </c>
      <c r="D95" s="4" t="s">
        <v>93</v>
      </c>
      <c r="E95" s="23" t="s">
        <v>459</v>
      </c>
    </row>
    <row r="96" spans="1:5" ht="12.75">
      <c r="A96" s="19" t="s">
        <v>418</v>
      </c>
      <c r="B96" s="4" t="s">
        <v>101</v>
      </c>
      <c r="C96" s="4" t="s">
        <v>33</v>
      </c>
      <c r="D96" s="4" t="s">
        <v>422</v>
      </c>
      <c r="E96" s="23" t="s">
        <v>460</v>
      </c>
    </row>
    <row r="97" spans="1:5" ht="12.75">
      <c r="A97" s="19" t="s">
        <v>424</v>
      </c>
      <c r="B97" s="4" t="s">
        <v>101</v>
      </c>
      <c r="C97" s="4" t="s">
        <v>33</v>
      </c>
      <c r="D97" s="4" t="s">
        <v>296</v>
      </c>
      <c r="E97" s="23" t="s">
        <v>461</v>
      </c>
    </row>
    <row r="98" spans="1:5" ht="12.75">
      <c r="A98" s="19" t="s">
        <v>433</v>
      </c>
      <c r="B98" s="4" t="s">
        <v>101</v>
      </c>
      <c r="C98" s="4" t="s">
        <v>27</v>
      </c>
      <c r="D98" s="4" t="s">
        <v>312</v>
      </c>
      <c r="E98" s="23" t="s">
        <v>462</v>
      </c>
    </row>
    <row r="99" spans="1:5" ht="12.75">
      <c r="A99" s="19" t="s">
        <v>428</v>
      </c>
      <c r="B99" s="4" t="s">
        <v>101</v>
      </c>
      <c r="C99" s="4" t="s">
        <v>33</v>
      </c>
      <c r="D99" s="4" t="s">
        <v>95</v>
      </c>
      <c r="E99" s="23" t="s">
        <v>463</v>
      </c>
    </row>
  </sheetData>
  <sheetProtection/>
  <mergeCells count="21">
    <mergeCell ref="A12:L12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44:L44"/>
    <mergeCell ref="A16:L16"/>
    <mergeCell ref="A20:L20"/>
    <mergeCell ref="A24:L24"/>
    <mergeCell ref="A28:L28"/>
    <mergeCell ref="A33:L33"/>
    <mergeCell ref="A38:L3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B1">
      <selection activeCell="M13" sqref="M13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0.25390625" style="4" bestFit="1" customWidth="1"/>
    <col min="7" max="9" width="5.625" style="3" bestFit="1" customWidth="1"/>
    <col min="10" max="10" width="4.875" style="3" bestFit="1" customWidth="1"/>
    <col min="11" max="11" width="11.25390625" style="4" bestFit="1" customWidth="1"/>
    <col min="12" max="12" width="8.625" style="3" bestFit="1" customWidth="1"/>
    <col min="13" max="13" width="15.875" style="4" bestFit="1" customWidth="1"/>
    <col min="14" max="16384" width="9.125" style="3" customWidth="1"/>
  </cols>
  <sheetData>
    <row r="1" spans="1:13" s="2" customFormat="1" ht="28.5" customHeight="1">
      <c r="A1" s="50" t="s">
        <v>324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2" customFormat="1" ht="61.5" customHeight="1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0</v>
      </c>
      <c r="B3" s="58" t="s">
        <v>7</v>
      </c>
      <c r="C3" s="58" t="s">
        <v>8</v>
      </c>
      <c r="D3" s="60" t="s">
        <v>11</v>
      </c>
      <c r="E3" s="60" t="s">
        <v>5</v>
      </c>
      <c r="F3" s="60" t="s">
        <v>9</v>
      </c>
      <c r="G3" s="60" t="s">
        <v>2</v>
      </c>
      <c r="H3" s="60"/>
      <c r="I3" s="60"/>
      <c r="J3" s="60"/>
      <c r="K3" s="60" t="s">
        <v>59</v>
      </c>
      <c r="L3" s="60" t="s">
        <v>4</v>
      </c>
      <c r="M3" s="44" t="s">
        <v>3</v>
      </c>
    </row>
    <row r="4" spans="1:13" s="1" customFormat="1" ht="15.75" thickBot="1">
      <c r="A4" s="57"/>
      <c r="B4" s="59"/>
      <c r="C4" s="59"/>
      <c r="D4" s="59"/>
      <c r="E4" s="59"/>
      <c r="F4" s="59"/>
      <c r="G4" s="5">
        <v>1</v>
      </c>
      <c r="H4" s="5">
        <v>2</v>
      </c>
      <c r="I4" s="5">
        <v>3</v>
      </c>
      <c r="J4" s="5" t="s">
        <v>6</v>
      </c>
      <c r="K4" s="59"/>
      <c r="L4" s="59"/>
      <c r="M4" s="45"/>
    </row>
    <row r="5" spans="1:12" ht="15">
      <c r="A5" s="46" t="s">
        <v>127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3" ht="12.75">
      <c r="A6" s="7" t="s">
        <v>326</v>
      </c>
      <c r="B6" s="7" t="s">
        <v>327</v>
      </c>
      <c r="C6" s="7" t="s">
        <v>328</v>
      </c>
      <c r="D6" s="7" t="str">
        <f>"0,8622"</f>
        <v>0,8622</v>
      </c>
      <c r="E6" s="7" t="s">
        <v>17</v>
      </c>
      <c r="F6" s="7" t="s">
        <v>18</v>
      </c>
      <c r="G6" s="9" t="s">
        <v>68</v>
      </c>
      <c r="H6" s="9" t="s">
        <v>193</v>
      </c>
      <c r="I6" s="8" t="s">
        <v>77</v>
      </c>
      <c r="J6" s="8"/>
      <c r="K6" s="7" t="str">
        <f>"140,0"</f>
        <v>140,0</v>
      </c>
      <c r="L6" s="9" t="str">
        <f>"120,7010"</f>
        <v>120,7010</v>
      </c>
      <c r="M6" s="7" t="s">
        <v>610</v>
      </c>
    </row>
    <row r="8" spans="1:12" ht="15">
      <c r="A8" s="48" t="s">
        <v>78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3" ht="12.75">
      <c r="A9" s="7" t="s">
        <v>330</v>
      </c>
      <c r="B9" s="7" t="s">
        <v>331</v>
      </c>
      <c r="C9" s="7" t="s">
        <v>332</v>
      </c>
      <c r="D9" s="7" t="str">
        <f>"0,5672"</f>
        <v>0,5672</v>
      </c>
      <c r="E9" s="7" t="s">
        <v>17</v>
      </c>
      <c r="F9" s="7" t="s">
        <v>149</v>
      </c>
      <c r="G9" s="9" t="s">
        <v>333</v>
      </c>
      <c r="H9" s="8" t="s">
        <v>334</v>
      </c>
      <c r="I9" s="9" t="s">
        <v>334</v>
      </c>
      <c r="J9" s="8"/>
      <c r="K9" s="7" t="str">
        <f>"260,0"</f>
        <v>260,0</v>
      </c>
      <c r="L9" s="9" t="str">
        <f>"147,4720"</f>
        <v>147,4720</v>
      </c>
      <c r="M9" s="7" t="s">
        <v>586</v>
      </c>
    </row>
    <row r="11" spans="1:12" ht="15">
      <c r="A11" s="48" t="s">
        <v>215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pans="1:13" ht="12.75">
      <c r="A12" s="7" t="s">
        <v>336</v>
      </c>
      <c r="B12" s="7" t="s">
        <v>337</v>
      </c>
      <c r="C12" s="7" t="s">
        <v>338</v>
      </c>
      <c r="D12" s="7" t="str">
        <f>"0,5413"</f>
        <v>0,5413</v>
      </c>
      <c r="E12" s="7" t="s">
        <v>17</v>
      </c>
      <c r="F12" s="7" t="s">
        <v>18</v>
      </c>
      <c r="G12" s="9" t="s">
        <v>339</v>
      </c>
      <c r="H12" s="9" t="s">
        <v>340</v>
      </c>
      <c r="I12" s="9" t="s">
        <v>341</v>
      </c>
      <c r="J12" s="8"/>
      <c r="K12" s="7" t="str">
        <f>"282,5"</f>
        <v>282,5</v>
      </c>
      <c r="L12" s="9" t="str">
        <f>"152,9172"</f>
        <v>152,9172</v>
      </c>
      <c r="M12" s="7" t="s">
        <v>586</v>
      </c>
    </row>
    <row r="14" spans="5:6" ht="15">
      <c r="E14" s="16" t="s">
        <v>35</v>
      </c>
      <c r="F14" s="4" t="s">
        <v>474</v>
      </c>
    </row>
    <row r="15" spans="5:6" ht="15">
      <c r="E15" s="16" t="s">
        <v>36</v>
      </c>
      <c r="F15" s="4" t="s">
        <v>475</v>
      </c>
    </row>
    <row r="16" spans="5:6" ht="15">
      <c r="E16" s="16" t="s">
        <v>37</v>
      </c>
      <c r="F16" s="4" t="s">
        <v>476</v>
      </c>
    </row>
    <row r="17" spans="5:6" ht="15">
      <c r="E17" s="16" t="s">
        <v>38</v>
      </c>
      <c r="F17" s="4" t="s">
        <v>477</v>
      </c>
    </row>
    <row r="18" spans="5:6" ht="15">
      <c r="E18" s="16" t="s">
        <v>38</v>
      </c>
      <c r="F18" s="4" t="s">
        <v>478</v>
      </c>
    </row>
    <row r="19" spans="5:6" ht="15">
      <c r="E19" s="16" t="s">
        <v>39</v>
      </c>
      <c r="F19" s="4" t="s">
        <v>479</v>
      </c>
    </row>
    <row r="20" ht="15">
      <c r="E20" s="16"/>
    </row>
    <row r="22" spans="1:2" ht="18">
      <c r="A22" s="17" t="s">
        <v>40</v>
      </c>
      <c r="B22" s="17"/>
    </row>
    <row r="23" spans="1:2" ht="15">
      <c r="A23" s="18" t="s">
        <v>41</v>
      </c>
      <c r="B23" s="18"/>
    </row>
    <row r="24" spans="1:2" ht="14.25">
      <c r="A24" s="20"/>
      <c r="B24" s="21" t="s">
        <v>96</v>
      </c>
    </row>
    <row r="25" spans="1:5" ht="15">
      <c r="A25" s="22" t="s">
        <v>43</v>
      </c>
      <c r="B25" s="22" t="s">
        <v>44</v>
      </c>
      <c r="C25" s="22" t="s">
        <v>45</v>
      </c>
      <c r="D25" s="22" t="s">
        <v>46</v>
      </c>
      <c r="E25" s="22" t="s">
        <v>47</v>
      </c>
    </row>
    <row r="26" spans="1:5" ht="12.75">
      <c r="A26" s="19" t="s">
        <v>325</v>
      </c>
      <c r="B26" s="4" t="s">
        <v>96</v>
      </c>
      <c r="C26" s="4" t="s">
        <v>19</v>
      </c>
      <c r="D26" s="4" t="s">
        <v>193</v>
      </c>
      <c r="E26" s="23" t="s">
        <v>342</v>
      </c>
    </row>
    <row r="29" spans="1:2" ht="15">
      <c r="A29" s="18" t="s">
        <v>51</v>
      </c>
      <c r="B29" s="18"/>
    </row>
    <row r="30" spans="1:2" ht="14.25">
      <c r="A30" s="20"/>
      <c r="B30" s="21" t="s">
        <v>96</v>
      </c>
    </row>
    <row r="31" spans="1:5" ht="15">
      <c r="A31" s="22" t="s">
        <v>43</v>
      </c>
      <c r="B31" s="22" t="s">
        <v>44</v>
      </c>
      <c r="C31" s="22" t="s">
        <v>45</v>
      </c>
      <c r="D31" s="22" t="s">
        <v>46</v>
      </c>
      <c r="E31" s="22" t="s">
        <v>47</v>
      </c>
    </row>
    <row r="32" spans="1:5" ht="12.75">
      <c r="A32" s="19" t="s">
        <v>335</v>
      </c>
      <c r="B32" s="4" t="s">
        <v>96</v>
      </c>
      <c r="C32" s="4" t="s">
        <v>27</v>
      </c>
      <c r="D32" s="4" t="s">
        <v>341</v>
      </c>
      <c r="E32" s="23" t="s">
        <v>343</v>
      </c>
    </row>
    <row r="33" spans="1:5" ht="12.75">
      <c r="A33" s="19" t="s">
        <v>329</v>
      </c>
      <c r="B33" s="4" t="s">
        <v>96</v>
      </c>
      <c r="C33" s="4" t="s">
        <v>33</v>
      </c>
      <c r="D33" s="4" t="s">
        <v>334</v>
      </c>
      <c r="E33" s="23" t="s">
        <v>344</v>
      </c>
    </row>
  </sheetData>
  <sheetProtection/>
  <mergeCells count="14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M7" sqref="M7"/>
    </sheetView>
  </sheetViews>
  <sheetFormatPr defaultColWidth="9.00390625" defaultRowHeight="12.75"/>
  <cols>
    <col min="1" max="1" width="26.00390625" style="4" bestFit="1" customWidth="1"/>
    <col min="2" max="2" width="28.37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1.8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4.625" style="4" bestFit="1" customWidth="1"/>
    <col min="14" max="16384" width="9.125" style="3" customWidth="1"/>
  </cols>
  <sheetData>
    <row r="1" spans="1:13" s="2" customFormat="1" ht="28.5" customHeight="1">
      <c r="A1" s="50" t="s">
        <v>320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2" customFormat="1" ht="61.5" customHeight="1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0</v>
      </c>
      <c r="B3" s="58" t="s">
        <v>7</v>
      </c>
      <c r="C3" s="58" t="s">
        <v>8</v>
      </c>
      <c r="D3" s="60" t="s">
        <v>11</v>
      </c>
      <c r="E3" s="60" t="s">
        <v>5</v>
      </c>
      <c r="F3" s="60" t="s">
        <v>9</v>
      </c>
      <c r="G3" s="60" t="s">
        <v>2</v>
      </c>
      <c r="H3" s="60"/>
      <c r="I3" s="60"/>
      <c r="J3" s="60"/>
      <c r="K3" s="60" t="s">
        <v>59</v>
      </c>
      <c r="L3" s="60" t="s">
        <v>4</v>
      </c>
      <c r="M3" s="44" t="s">
        <v>3</v>
      </c>
    </row>
    <row r="4" spans="1:13" s="1" customFormat="1" ht="21" customHeight="1" thickBot="1">
      <c r="A4" s="57"/>
      <c r="B4" s="59"/>
      <c r="C4" s="59"/>
      <c r="D4" s="59"/>
      <c r="E4" s="59"/>
      <c r="F4" s="59"/>
      <c r="G4" s="5">
        <v>1</v>
      </c>
      <c r="H4" s="5">
        <v>2</v>
      </c>
      <c r="I4" s="5">
        <v>3</v>
      </c>
      <c r="J4" s="5" t="s">
        <v>6</v>
      </c>
      <c r="K4" s="59"/>
      <c r="L4" s="59"/>
      <c r="M4" s="45"/>
    </row>
    <row r="5" spans="1:12" ht="15">
      <c r="A5" s="46" t="s">
        <v>22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3" ht="12.75">
      <c r="A6" s="7" t="s">
        <v>24</v>
      </c>
      <c r="B6" s="7" t="s">
        <v>25</v>
      </c>
      <c r="C6" s="7" t="s">
        <v>26</v>
      </c>
      <c r="D6" s="7" t="str">
        <f>"0,6329"</f>
        <v>0,6329</v>
      </c>
      <c r="E6" s="7" t="s">
        <v>17</v>
      </c>
      <c r="F6" s="7" t="s">
        <v>18</v>
      </c>
      <c r="G6" s="9" t="s">
        <v>321</v>
      </c>
      <c r="H6" s="8" t="s">
        <v>322</v>
      </c>
      <c r="I6" s="8" t="s">
        <v>322</v>
      </c>
      <c r="J6" s="8"/>
      <c r="K6" s="7" t="str">
        <f>"200,0"</f>
        <v>200,0</v>
      </c>
      <c r="L6" s="9" t="str">
        <f>"130,3774"</f>
        <v>130,3774</v>
      </c>
      <c r="M6" s="7" t="s">
        <v>611</v>
      </c>
    </row>
    <row r="8" spans="5:6" ht="15">
      <c r="E8" s="16" t="s">
        <v>35</v>
      </c>
      <c r="F8" s="4" t="s">
        <v>474</v>
      </c>
    </row>
    <row r="9" spans="5:6" ht="15">
      <c r="E9" s="16" t="s">
        <v>36</v>
      </c>
      <c r="F9" s="4" t="s">
        <v>475</v>
      </c>
    </row>
    <row r="10" spans="5:6" ht="15">
      <c r="E10" s="16" t="s">
        <v>37</v>
      </c>
      <c r="F10" s="4" t="s">
        <v>476</v>
      </c>
    </row>
    <row r="11" spans="5:6" ht="15">
      <c r="E11" s="16" t="s">
        <v>38</v>
      </c>
      <c r="F11" s="4" t="s">
        <v>477</v>
      </c>
    </row>
    <row r="12" spans="5:6" ht="15">
      <c r="E12" s="16" t="s">
        <v>38</v>
      </c>
      <c r="F12" s="4" t="s">
        <v>478</v>
      </c>
    </row>
    <row r="13" spans="5:6" ht="15">
      <c r="E13" s="16" t="s">
        <v>39</v>
      </c>
      <c r="F13" s="4" t="s">
        <v>479</v>
      </c>
    </row>
    <row r="14" ht="15">
      <c r="E14" s="16"/>
    </row>
    <row r="16" spans="1:2" ht="18">
      <c r="A16" s="17" t="s">
        <v>40</v>
      </c>
      <c r="B16" s="17"/>
    </row>
    <row r="17" spans="1:2" ht="15">
      <c r="A17" s="18" t="s">
        <v>51</v>
      </c>
      <c r="B17" s="18"/>
    </row>
    <row r="18" spans="1:2" ht="14.25">
      <c r="A18" s="20"/>
      <c r="B18" s="21" t="s">
        <v>52</v>
      </c>
    </row>
    <row r="19" spans="1:5" ht="15">
      <c r="A19" s="22" t="s">
        <v>43</v>
      </c>
      <c r="B19" s="22" t="s">
        <v>44</v>
      </c>
      <c r="C19" s="22" t="s">
        <v>45</v>
      </c>
      <c r="D19" s="22" t="s">
        <v>46</v>
      </c>
      <c r="E19" s="22" t="s">
        <v>47</v>
      </c>
    </row>
    <row r="20" spans="1:5" ht="12.75">
      <c r="A20" s="19" t="s">
        <v>23</v>
      </c>
      <c r="B20" s="4" t="s">
        <v>53</v>
      </c>
      <c r="C20" s="4" t="s">
        <v>54</v>
      </c>
      <c r="D20" s="4" t="s">
        <v>321</v>
      </c>
      <c r="E20" s="23" t="s">
        <v>323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L19" sqref="L19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0.8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5.75390625" style="4" bestFit="1" customWidth="1"/>
    <col min="14" max="16384" width="9.125" style="3" customWidth="1"/>
  </cols>
  <sheetData>
    <row r="1" spans="1:13" s="2" customFormat="1" ht="28.5" customHeight="1">
      <c r="A1" s="50" t="s">
        <v>276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2" customFormat="1" ht="61.5" customHeight="1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0</v>
      </c>
      <c r="B3" s="58" t="s">
        <v>7</v>
      </c>
      <c r="C3" s="58" t="s">
        <v>8</v>
      </c>
      <c r="D3" s="60" t="s">
        <v>11</v>
      </c>
      <c r="E3" s="60" t="s">
        <v>5</v>
      </c>
      <c r="F3" s="60" t="s">
        <v>9</v>
      </c>
      <c r="G3" s="60" t="s">
        <v>1</v>
      </c>
      <c r="H3" s="60"/>
      <c r="I3" s="60"/>
      <c r="J3" s="60"/>
      <c r="K3" s="60" t="s">
        <v>59</v>
      </c>
      <c r="L3" s="60" t="s">
        <v>4</v>
      </c>
      <c r="M3" s="44" t="s">
        <v>3</v>
      </c>
    </row>
    <row r="4" spans="1:13" s="1" customFormat="1" ht="21" customHeight="1" thickBot="1">
      <c r="A4" s="57"/>
      <c r="B4" s="59"/>
      <c r="C4" s="59"/>
      <c r="D4" s="59"/>
      <c r="E4" s="59"/>
      <c r="F4" s="59"/>
      <c r="G4" s="5">
        <v>1</v>
      </c>
      <c r="H4" s="5">
        <v>2</v>
      </c>
      <c r="I4" s="5">
        <v>3</v>
      </c>
      <c r="J4" s="5" t="s">
        <v>6</v>
      </c>
      <c r="K4" s="59"/>
      <c r="L4" s="59"/>
      <c r="M4" s="45"/>
    </row>
    <row r="5" spans="1:12" ht="15">
      <c r="A5" s="46" t="s">
        <v>127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3" ht="12.75">
      <c r="A6" s="7" t="s">
        <v>278</v>
      </c>
      <c r="B6" s="7" t="s">
        <v>279</v>
      </c>
      <c r="C6" s="7" t="s">
        <v>280</v>
      </c>
      <c r="D6" s="7" t="str">
        <f>"0,8870"</f>
        <v>0,8870</v>
      </c>
      <c r="E6" s="7" t="s">
        <v>75</v>
      </c>
      <c r="F6" s="7" t="s">
        <v>76</v>
      </c>
      <c r="G6" s="9" t="s">
        <v>19</v>
      </c>
      <c r="H6" s="8" t="s">
        <v>274</v>
      </c>
      <c r="I6" s="9" t="s">
        <v>274</v>
      </c>
      <c r="J6" s="8"/>
      <c r="K6" s="7" t="str">
        <f>"70,0"</f>
        <v>70,0</v>
      </c>
      <c r="L6" s="9" t="str">
        <f>"62,0865"</f>
        <v>62,0865</v>
      </c>
      <c r="M6" s="7" t="s">
        <v>585</v>
      </c>
    </row>
    <row r="8" spans="1:12" ht="15">
      <c r="A8" s="48" t="s">
        <v>61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3" ht="12.75">
      <c r="A9" s="7" t="s">
        <v>282</v>
      </c>
      <c r="B9" s="7" t="s">
        <v>283</v>
      </c>
      <c r="C9" s="7" t="s">
        <v>284</v>
      </c>
      <c r="D9" s="7" t="str">
        <f>"0,7367"</f>
        <v>0,7367</v>
      </c>
      <c r="E9" s="7" t="s">
        <v>285</v>
      </c>
      <c r="F9" s="7" t="s">
        <v>18</v>
      </c>
      <c r="G9" s="9" t="s">
        <v>286</v>
      </c>
      <c r="H9" s="9" t="s">
        <v>287</v>
      </c>
      <c r="I9" s="9" t="s">
        <v>69</v>
      </c>
      <c r="J9" s="8"/>
      <c r="K9" s="7" t="str">
        <f>"135,0"</f>
        <v>135,0</v>
      </c>
      <c r="L9" s="9" t="str">
        <f>"99,4545"</f>
        <v>99,4545</v>
      </c>
      <c r="M9" s="7" t="s">
        <v>21</v>
      </c>
    </row>
    <row r="11" spans="1:12" ht="15">
      <c r="A11" s="48" t="s">
        <v>70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pans="1:13" ht="12.75">
      <c r="A12" s="7" t="s">
        <v>289</v>
      </c>
      <c r="B12" s="7" t="s">
        <v>290</v>
      </c>
      <c r="C12" s="7" t="s">
        <v>291</v>
      </c>
      <c r="D12" s="7" t="str">
        <f>"0,6820"</f>
        <v>0,6820</v>
      </c>
      <c r="E12" s="7" t="s">
        <v>285</v>
      </c>
      <c r="F12" s="7" t="s">
        <v>18</v>
      </c>
      <c r="G12" s="9" t="s">
        <v>230</v>
      </c>
      <c r="H12" s="8" t="s">
        <v>93</v>
      </c>
      <c r="I12" s="9" t="s">
        <v>199</v>
      </c>
      <c r="J12" s="8"/>
      <c r="K12" s="7" t="str">
        <f>"180,0"</f>
        <v>180,0</v>
      </c>
      <c r="L12" s="9" t="str">
        <f>"123,9876"</f>
        <v>123,9876</v>
      </c>
      <c r="M12" s="7" t="s">
        <v>612</v>
      </c>
    </row>
    <row r="14" spans="1:12" ht="15">
      <c r="A14" s="48" t="s">
        <v>168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</row>
    <row r="15" spans="1:13" ht="12.75">
      <c r="A15" s="7" t="s">
        <v>293</v>
      </c>
      <c r="B15" s="7" t="s">
        <v>294</v>
      </c>
      <c r="C15" s="7" t="s">
        <v>172</v>
      </c>
      <c r="D15" s="7" t="str">
        <f>"0,5930"</f>
        <v>0,5930</v>
      </c>
      <c r="E15" s="7" t="s">
        <v>285</v>
      </c>
      <c r="F15" s="7" t="s">
        <v>18</v>
      </c>
      <c r="G15" s="8" t="s">
        <v>295</v>
      </c>
      <c r="H15" s="9" t="s">
        <v>295</v>
      </c>
      <c r="I15" s="9" t="s">
        <v>296</v>
      </c>
      <c r="J15" s="8"/>
      <c r="K15" s="7" t="str">
        <f>"230,0"</f>
        <v>230,0</v>
      </c>
      <c r="L15" s="9" t="str">
        <f>"136,3900"</f>
        <v>136,3900</v>
      </c>
      <c r="M15" s="7" t="s">
        <v>612</v>
      </c>
    </row>
    <row r="17" spans="1:12" ht="15">
      <c r="A17" s="48" t="s">
        <v>78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</row>
    <row r="18" spans="1:13" ht="12.75">
      <c r="A18" s="10" t="s">
        <v>304</v>
      </c>
      <c r="B18" s="10" t="s">
        <v>302</v>
      </c>
      <c r="C18" s="10" t="s">
        <v>303</v>
      </c>
      <c r="D18" s="10" t="str">
        <f>"0,5599"</f>
        <v>0,5599</v>
      </c>
      <c r="E18" s="10" t="s">
        <v>285</v>
      </c>
      <c r="F18" s="10" t="s">
        <v>18</v>
      </c>
      <c r="G18" s="11" t="s">
        <v>210</v>
      </c>
      <c r="H18" s="12" t="s">
        <v>210</v>
      </c>
      <c r="I18" s="12" t="s">
        <v>230</v>
      </c>
      <c r="J18" s="11"/>
      <c r="K18" s="10" t="str">
        <f>"170,0"</f>
        <v>170,0</v>
      </c>
      <c r="L18" s="12" t="s">
        <v>319</v>
      </c>
      <c r="M18" s="10" t="s">
        <v>586</v>
      </c>
    </row>
    <row r="19" spans="1:13" ht="12.75">
      <c r="A19" s="24" t="s">
        <v>646</v>
      </c>
      <c r="B19" s="24" t="s">
        <v>298</v>
      </c>
      <c r="C19" s="24" t="s">
        <v>299</v>
      </c>
      <c r="D19" s="24" t="str">
        <f>"0,5630"</f>
        <v>0,5630</v>
      </c>
      <c r="E19" s="24" t="s">
        <v>285</v>
      </c>
      <c r="F19" s="24" t="s">
        <v>18</v>
      </c>
      <c r="G19" s="26" t="s">
        <v>295</v>
      </c>
      <c r="H19" s="26" t="s">
        <v>296</v>
      </c>
      <c r="I19" s="25" t="s">
        <v>300</v>
      </c>
      <c r="J19" s="25"/>
      <c r="K19" s="24" t="str">
        <f>"230,0"</f>
        <v>230,0</v>
      </c>
      <c r="L19" s="26" t="s">
        <v>647</v>
      </c>
      <c r="M19" s="24" t="s">
        <v>612</v>
      </c>
    </row>
    <row r="20" spans="1:13" ht="12.75">
      <c r="A20" s="13" t="s">
        <v>304</v>
      </c>
      <c r="B20" s="13" t="s">
        <v>305</v>
      </c>
      <c r="C20" s="13" t="s">
        <v>303</v>
      </c>
      <c r="D20" s="13" t="str">
        <f>"0,5599"</f>
        <v>0,5599</v>
      </c>
      <c r="E20" s="13" t="s">
        <v>285</v>
      </c>
      <c r="F20" s="13" t="s">
        <v>18</v>
      </c>
      <c r="G20" s="14" t="s">
        <v>210</v>
      </c>
      <c r="H20" s="15" t="s">
        <v>210</v>
      </c>
      <c r="I20" s="15" t="s">
        <v>230</v>
      </c>
      <c r="J20" s="14"/>
      <c r="K20" s="13" t="str">
        <f>"170,0"</f>
        <v>170,0</v>
      </c>
      <c r="L20" s="15" t="s">
        <v>319</v>
      </c>
      <c r="M20" s="13" t="s">
        <v>586</v>
      </c>
    </row>
    <row r="22" spans="1:12" ht="15">
      <c r="A22" s="48" t="s">
        <v>87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1:13" ht="12.75">
      <c r="A23" s="7" t="s">
        <v>307</v>
      </c>
      <c r="B23" s="7" t="s">
        <v>308</v>
      </c>
      <c r="C23" s="7" t="s">
        <v>309</v>
      </c>
      <c r="D23" s="7" t="str">
        <f>"0,5241"</f>
        <v>0,5241</v>
      </c>
      <c r="E23" s="7" t="s">
        <v>285</v>
      </c>
      <c r="F23" s="7" t="s">
        <v>18</v>
      </c>
      <c r="G23" s="9" t="s">
        <v>310</v>
      </c>
      <c r="H23" s="9" t="s">
        <v>311</v>
      </c>
      <c r="I23" s="9" t="s">
        <v>312</v>
      </c>
      <c r="J23" s="8"/>
      <c r="K23" s="7" t="str">
        <f>"232,5"</f>
        <v>232,5</v>
      </c>
      <c r="L23" s="9" t="str">
        <f>"121,8533"</f>
        <v>121,8533</v>
      </c>
      <c r="M23" s="7" t="s">
        <v>612</v>
      </c>
    </row>
    <row r="25" spans="5:6" ht="15">
      <c r="E25" s="16" t="s">
        <v>35</v>
      </c>
      <c r="F25" s="4" t="s">
        <v>474</v>
      </c>
    </row>
    <row r="26" spans="5:6" ht="15">
      <c r="E26" s="16" t="s">
        <v>36</v>
      </c>
      <c r="F26" s="4" t="s">
        <v>475</v>
      </c>
    </row>
    <row r="27" spans="5:6" ht="15">
      <c r="E27" s="16" t="s">
        <v>37</v>
      </c>
      <c r="F27" s="4" t="s">
        <v>476</v>
      </c>
    </row>
    <row r="28" spans="5:6" ht="15">
      <c r="E28" s="16" t="s">
        <v>38</v>
      </c>
      <c r="F28" s="4" t="s">
        <v>477</v>
      </c>
    </row>
    <row r="29" spans="5:6" ht="15">
      <c r="E29" s="16" t="s">
        <v>38</v>
      </c>
      <c r="F29" s="4" t="s">
        <v>478</v>
      </c>
    </row>
    <row r="30" spans="5:6" ht="15">
      <c r="E30" s="16" t="s">
        <v>39</v>
      </c>
      <c r="F30" s="4" t="s">
        <v>479</v>
      </c>
    </row>
    <row r="31" ht="15">
      <c r="E31" s="16"/>
    </row>
    <row r="33" spans="1:2" ht="18">
      <c r="A33" s="17" t="s">
        <v>40</v>
      </c>
      <c r="B33" s="17"/>
    </row>
    <row r="34" spans="1:2" ht="15">
      <c r="A34" s="18" t="s">
        <v>41</v>
      </c>
      <c r="B34" s="18"/>
    </row>
    <row r="35" spans="1:2" ht="14.25">
      <c r="A35" s="20"/>
      <c r="B35" s="21" t="s">
        <v>96</v>
      </c>
    </row>
    <row r="36" spans="1:5" ht="15">
      <c r="A36" s="22" t="s">
        <v>43</v>
      </c>
      <c r="B36" s="22" t="s">
        <v>44</v>
      </c>
      <c r="C36" s="22" t="s">
        <v>45</v>
      </c>
      <c r="D36" s="22" t="s">
        <v>46</v>
      </c>
      <c r="E36" s="22" t="s">
        <v>47</v>
      </c>
    </row>
    <row r="37" spans="1:5" ht="12.75">
      <c r="A37" s="19" t="s">
        <v>277</v>
      </c>
      <c r="B37" s="4" t="s">
        <v>96</v>
      </c>
      <c r="C37" s="4" t="s">
        <v>19</v>
      </c>
      <c r="D37" s="4" t="s">
        <v>274</v>
      </c>
      <c r="E37" s="23" t="s">
        <v>313</v>
      </c>
    </row>
    <row r="40" spans="1:2" ht="15">
      <c r="A40" s="18" t="s">
        <v>51</v>
      </c>
      <c r="B40" s="18"/>
    </row>
    <row r="41" spans="1:2" ht="14.25">
      <c r="A41" s="20"/>
      <c r="B41" s="21" t="s">
        <v>52</v>
      </c>
    </row>
    <row r="42" spans="1:5" ht="15">
      <c r="A42" s="22" t="s">
        <v>43</v>
      </c>
      <c r="B42" s="22" t="s">
        <v>44</v>
      </c>
      <c r="C42" s="22" t="s">
        <v>45</v>
      </c>
      <c r="D42" s="22" t="s">
        <v>46</v>
      </c>
      <c r="E42" s="22" t="s">
        <v>47</v>
      </c>
    </row>
    <row r="43" spans="1:5" ht="12.75">
      <c r="A43" s="19" t="s">
        <v>288</v>
      </c>
      <c r="B43" s="4" t="s">
        <v>53</v>
      </c>
      <c r="C43" s="4" t="s">
        <v>97</v>
      </c>
      <c r="D43" s="4" t="s">
        <v>199</v>
      </c>
      <c r="E43" s="23" t="s">
        <v>314</v>
      </c>
    </row>
    <row r="45" spans="1:2" ht="14.25">
      <c r="A45" s="20"/>
      <c r="B45" s="21" t="s">
        <v>96</v>
      </c>
    </row>
    <row r="46" spans="1:5" ht="15">
      <c r="A46" s="22" t="s">
        <v>43</v>
      </c>
      <c r="B46" s="22" t="s">
        <v>44</v>
      </c>
      <c r="C46" s="22" t="s">
        <v>45</v>
      </c>
      <c r="D46" s="22" t="s">
        <v>46</v>
      </c>
      <c r="E46" s="22" t="s">
        <v>47</v>
      </c>
    </row>
    <row r="47" spans="1:5" ht="12.75">
      <c r="A47" s="19" t="s">
        <v>301</v>
      </c>
      <c r="B47" s="4" t="s">
        <v>96</v>
      </c>
      <c r="C47" s="4" t="s">
        <v>33</v>
      </c>
      <c r="D47" s="4" t="s">
        <v>230</v>
      </c>
      <c r="E47" s="23" t="s">
        <v>319</v>
      </c>
    </row>
    <row r="48" spans="1:5" ht="12.75">
      <c r="A48" s="19" t="s">
        <v>292</v>
      </c>
      <c r="B48" s="4" t="s">
        <v>96</v>
      </c>
      <c r="C48" s="4" t="s">
        <v>143</v>
      </c>
      <c r="D48" s="4" t="s">
        <v>296</v>
      </c>
      <c r="E48" s="23" t="s">
        <v>315</v>
      </c>
    </row>
    <row r="49" spans="1:5" ht="12.75">
      <c r="A49" s="19" t="s">
        <v>297</v>
      </c>
      <c r="B49" s="4" t="s">
        <v>96</v>
      </c>
      <c r="C49" s="4" t="s">
        <v>33</v>
      </c>
      <c r="D49" s="4" t="s">
        <v>296</v>
      </c>
      <c r="E49" s="23" t="s">
        <v>316</v>
      </c>
    </row>
    <row r="50" spans="1:5" ht="12.75">
      <c r="A50" s="19" t="s">
        <v>306</v>
      </c>
      <c r="B50" s="4" t="s">
        <v>96</v>
      </c>
      <c r="C50" s="4" t="s">
        <v>67</v>
      </c>
      <c r="D50" s="4" t="s">
        <v>312</v>
      </c>
      <c r="E50" s="23" t="s">
        <v>317</v>
      </c>
    </row>
    <row r="51" spans="1:5" ht="12.75">
      <c r="A51" s="19" t="s">
        <v>281</v>
      </c>
      <c r="B51" s="4" t="s">
        <v>96</v>
      </c>
      <c r="C51" s="4" t="s">
        <v>20</v>
      </c>
      <c r="D51" s="4" t="s">
        <v>69</v>
      </c>
      <c r="E51" s="23" t="s">
        <v>318</v>
      </c>
    </row>
    <row r="52" spans="1:5" ht="12.75">
      <c r="A52" s="3"/>
      <c r="B52" s="3"/>
      <c r="C52" s="3"/>
      <c r="D52" s="3"/>
      <c r="E52" s="3"/>
    </row>
    <row r="54" spans="1:2" ht="14.25">
      <c r="A54" s="20"/>
      <c r="B54" s="21" t="s">
        <v>56</v>
      </c>
    </row>
    <row r="55" spans="1:5" ht="15">
      <c r="A55" s="22" t="s">
        <v>43</v>
      </c>
      <c r="B55" s="22" t="s">
        <v>44</v>
      </c>
      <c r="C55" s="22" t="s">
        <v>45</v>
      </c>
      <c r="D55" s="22" t="s">
        <v>46</v>
      </c>
      <c r="E55" s="22" t="s">
        <v>47</v>
      </c>
    </row>
    <row r="56" spans="1:5" ht="12.75">
      <c r="A56" s="19" t="s">
        <v>301</v>
      </c>
      <c r="B56" s="4" t="s">
        <v>57</v>
      </c>
      <c r="C56" s="4" t="s">
        <v>33</v>
      </c>
      <c r="D56" s="4" t="s">
        <v>230</v>
      </c>
      <c r="E56" s="23" t="s">
        <v>319</v>
      </c>
    </row>
  </sheetData>
  <sheetProtection/>
  <mergeCells count="17"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A14:L14"/>
    <mergeCell ref="A17:L17"/>
    <mergeCell ref="A22:L22"/>
    <mergeCell ref="K3:K4"/>
    <mergeCell ref="L3:L4"/>
  </mergeCells>
  <printOptions/>
  <pageMargins left="0.7" right="0.7" top="0.75" bottom="0.75" header="0.3" footer="0.3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M6" sqref="M6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1.875" style="4" bestFit="1" customWidth="1"/>
    <col min="7" max="9" width="4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14.125" style="4" bestFit="1" customWidth="1"/>
    <col min="14" max="16384" width="9.125" style="3" customWidth="1"/>
  </cols>
  <sheetData>
    <row r="1" spans="1:13" s="2" customFormat="1" ht="28.5" customHeight="1">
      <c r="A1" s="50" t="s">
        <v>268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2" customFormat="1" ht="61.5" customHeight="1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0</v>
      </c>
      <c r="B3" s="58" t="s">
        <v>7</v>
      </c>
      <c r="C3" s="58" t="s">
        <v>8</v>
      </c>
      <c r="D3" s="60" t="s">
        <v>11</v>
      </c>
      <c r="E3" s="60" t="s">
        <v>5</v>
      </c>
      <c r="F3" s="60" t="s">
        <v>9</v>
      </c>
      <c r="G3" s="60" t="s">
        <v>1</v>
      </c>
      <c r="H3" s="60"/>
      <c r="I3" s="60"/>
      <c r="J3" s="60"/>
      <c r="K3" s="60" t="s">
        <v>59</v>
      </c>
      <c r="L3" s="60" t="s">
        <v>4</v>
      </c>
      <c r="M3" s="44" t="s">
        <v>3</v>
      </c>
    </row>
    <row r="4" spans="1:13" s="1" customFormat="1" ht="21" customHeight="1" thickBot="1">
      <c r="A4" s="57"/>
      <c r="B4" s="59"/>
      <c r="C4" s="59"/>
      <c r="D4" s="59"/>
      <c r="E4" s="59"/>
      <c r="F4" s="59"/>
      <c r="G4" s="5">
        <v>1</v>
      </c>
      <c r="H4" s="5">
        <v>2</v>
      </c>
      <c r="I4" s="5">
        <v>3</v>
      </c>
      <c r="J4" s="5" t="s">
        <v>6</v>
      </c>
      <c r="K4" s="59"/>
      <c r="L4" s="59"/>
      <c r="M4" s="45"/>
    </row>
    <row r="5" spans="1:12" ht="15">
      <c r="A5" s="46" t="s">
        <v>106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3" ht="12.75">
      <c r="A6" s="7" t="s">
        <v>270</v>
      </c>
      <c r="B6" s="7" t="s">
        <v>271</v>
      </c>
      <c r="C6" s="7" t="s">
        <v>272</v>
      </c>
      <c r="D6" s="7" t="str">
        <f>"1,0173"</f>
        <v>1,0173</v>
      </c>
      <c r="E6" s="7" t="s">
        <v>273</v>
      </c>
      <c r="F6" s="7" t="s">
        <v>18</v>
      </c>
      <c r="G6" s="9" t="s">
        <v>274</v>
      </c>
      <c r="H6" s="8" t="s">
        <v>97</v>
      </c>
      <c r="I6" s="8" t="s">
        <v>97</v>
      </c>
      <c r="J6" s="8"/>
      <c r="K6" s="7" t="str">
        <f>"70,0"</f>
        <v>70,0</v>
      </c>
      <c r="L6" s="9" t="str">
        <f>"71,2145"</f>
        <v>71,2145</v>
      </c>
      <c r="M6" s="7" t="s">
        <v>613</v>
      </c>
    </row>
    <row r="8" spans="5:6" ht="15">
      <c r="E8" s="16" t="s">
        <v>35</v>
      </c>
      <c r="F8" s="4" t="s">
        <v>474</v>
      </c>
    </row>
    <row r="9" spans="5:6" ht="15">
      <c r="E9" s="16" t="s">
        <v>36</v>
      </c>
      <c r="F9" s="4" t="s">
        <v>475</v>
      </c>
    </row>
    <row r="10" spans="5:6" ht="15">
      <c r="E10" s="16" t="s">
        <v>37</v>
      </c>
      <c r="F10" s="4" t="s">
        <v>476</v>
      </c>
    </row>
    <row r="11" spans="5:6" ht="15">
      <c r="E11" s="16" t="s">
        <v>38</v>
      </c>
      <c r="F11" s="4" t="s">
        <v>477</v>
      </c>
    </row>
    <row r="12" spans="5:6" ht="15">
      <c r="E12" s="16" t="s">
        <v>38</v>
      </c>
      <c r="F12" s="4" t="s">
        <v>478</v>
      </c>
    </row>
    <row r="13" spans="5:6" ht="15">
      <c r="E13" s="16" t="s">
        <v>39</v>
      </c>
      <c r="F13" s="4" t="s">
        <v>479</v>
      </c>
    </row>
    <row r="14" ht="15">
      <c r="E14" s="16"/>
    </row>
    <row r="16" spans="1:2" ht="18">
      <c r="A16" s="17" t="s">
        <v>40</v>
      </c>
      <c r="B16" s="17"/>
    </row>
    <row r="17" spans="1:2" ht="15">
      <c r="A17" s="18" t="s">
        <v>41</v>
      </c>
      <c r="B17" s="18"/>
    </row>
    <row r="18" spans="1:2" ht="14.25">
      <c r="A18" s="20"/>
      <c r="B18" s="21" t="s">
        <v>96</v>
      </c>
    </row>
    <row r="19" spans="1:5" ht="15">
      <c r="A19" s="22" t="s">
        <v>43</v>
      </c>
      <c r="B19" s="22" t="s">
        <v>44</v>
      </c>
      <c r="C19" s="22" t="s">
        <v>45</v>
      </c>
      <c r="D19" s="22" t="s">
        <v>46</v>
      </c>
      <c r="E19" s="22" t="s">
        <v>47</v>
      </c>
    </row>
    <row r="20" spans="1:5" ht="12.75">
      <c r="A20" s="19" t="s">
        <v>269</v>
      </c>
      <c r="B20" s="4" t="s">
        <v>96</v>
      </c>
      <c r="C20" s="4" t="s">
        <v>234</v>
      </c>
      <c r="D20" s="4" t="s">
        <v>274</v>
      </c>
      <c r="E20" s="23" t="s">
        <v>275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M6" sqref="M6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1.875" style="4" bestFit="1" customWidth="1"/>
    <col min="7" max="9" width="4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4.125" style="4" bestFit="1" customWidth="1"/>
    <col min="14" max="16384" width="9.125" style="3" customWidth="1"/>
  </cols>
  <sheetData>
    <row r="1" spans="1:13" s="2" customFormat="1" ht="28.5" customHeight="1">
      <c r="A1" s="50" t="s">
        <v>259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2" customFormat="1" ht="61.5" customHeight="1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0</v>
      </c>
      <c r="B3" s="58" t="s">
        <v>7</v>
      </c>
      <c r="C3" s="58" t="s">
        <v>8</v>
      </c>
      <c r="D3" s="60" t="s">
        <v>11</v>
      </c>
      <c r="E3" s="60" t="s">
        <v>5</v>
      </c>
      <c r="F3" s="60" t="s">
        <v>9</v>
      </c>
      <c r="G3" s="60" t="s">
        <v>1</v>
      </c>
      <c r="H3" s="60"/>
      <c r="I3" s="60"/>
      <c r="J3" s="60"/>
      <c r="K3" s="60" t="s">
        <v>59</v>
      </c>
      <c r="L3" s="60" t="s">
        <v>4</v>
      </c>
      <c r="M3" s="44" t="s">
        <v>3</v>
      </c>
    </row>
    <row r="4" spans="1:13" s="1" customFormat="1" ht="21" customHeight="1" thickBot="1">
      <c r="A4" s="57"/>
      <c r="B4" s="59"/>
      <c r="C4" s="59"/>
      <c r="D4" s="59"/>
      <c r="E4" s="59"/>
      <c r="F4" s="59"/>
      <c r="G4" s="5">
        <v>1</v>
      </c>
      <c r="H4" s="5">
        <v>2</v>
      </c>
      <c r="I4" s="5">
        <v>3</v>
      </c>
      <c r="J4" s="5" t="s">
        <v>6</v>
      </c>
      <c r="K4" s="59"/>
      <c r="L4" s="59"/>
      <c r="M4" s="45"/>
    </row>
    <row r="5" spans="1:12" ht="15">
      <c r="A5" s="46" t="s">
        <v>12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3" ht="12.75">
      <c r="A6" s="7" t="s">
        <v>261</v>
      </c>
      <c r="B6" s="7" t="s">
        <v>262</v>
      </c>
      <c r="C6" s="7" t="s">
        <v>263</v>
      </c>
      <c r="D6" s="7" t="str">
        <f>"0,9229"</f>
        <v>0,9229</v>
      </c>
      <c r="E6" s="7" t="s">
        <v>614</v>
      </c>
      <c r="F6" s="7" t="s">
        <v>18</v>
      </c>
      <c r="G6" s="9" t="s">
        <v>264</v>
      </c>
      <c r="H6" s="9" t="s">
        <v>54</v>
      </c>
      <c r="I6" s="9" t="s">
        <v>265</v>
      </c>
      <c r="J6" s="8"/>
      <c r="K6" s="7" t="str">
        <f>"87,5"</f>
        <v>87,5</v>
      </c>
      <c r="L6" s="9" t="str">
        <f>"141,7152"</f>
        <v>141,7152</v>
      </c>
      <c r="M6" s="7" t="s">
        <v>613</v>
      </c>
    </row>
    <row r="8" spans="5:6" ht="15">
      <c r="E8" s="16" t="s">
        <v>35</v>
      </c>
      <c r="F8" s="4" t="s">
        <v>474</v>
      </c>
    </row>
    <row r="9" spans="5:6" ht="15">
      <c r="E9" s="16" t="s">
        <v>36</v>
      </c>
      <c r="F9" s="4" t="s">
        <v>475</v>
      </c>
    </row>
    <row r="10" spans="5:6" ht="15">
      <c r="E10" s="16" t="s">
        <v>37</v>
      </c>
      <c r="F10" s="4" t="s">
        <v>476</v>
      </c>
    </row>
    <row r="11" spans="5:6" ht="15">
      <c r="E11" s="16" t="s">
        <v>38</v>
      </c>
      <c r="F11" s="4" t="s">
        <v>477</v>
      </c>
    </row>
    <row r="12" spans="5:6" ht="15">
      <c r="E12" s="16" t="s">
        <v>38</v>
      </c>
      <c r="F12" s="4" t="s">
        <v>478</v>
      </c>
    </row>
    <row r="13" spans="5:6" ht="15">
      <c r="E13" s="16" t="s">
        <v>39</v>
      </c>
      <c r="F13" s="4" t="s">
        <v>479</v>
      </c>
    </row>
    <row r="14" ht="15">
      <c r="E14" s="16"/>
    </row>
    <row r="16" spans="1:2" ht="18">
      <c r="A16" s="17" t="s">
        <v>40</v>
      </c>
      <c r="B16" s="17"/>
    </row>
    <row r="17" spans="1:2" ht="15">
      <c r="A17" s="18" t="s">
        <v>41</v>
      </c>
      <c r="B17" s="18"/>
    </row>
    <row r="18" spans="1:2" ht="14.25">
      <c r="A18" s="20"/>
      <c r="B18" s="21" t="s">
        <v>56</v>
      </c>
    </row>
    <row r="19" spans="1:5" ht="15">
      <c r="A19" s="22" t="s">
        <v>43</v>
      </c>
      <c r="B19" s="22" t="s">
        <v>44</v>
      </c>
      <c r="C19" s="22" t="s">
        <v>45</v>
      </c>
      <c r="D19" s="22" t="s">
        <v>46</v>
      </c>
      <c r="E19" s="22" t="s">
        <v>47</v>
      </c>
    </row>
    <row r="20" spans="1:5" ht="12.75">
      <c r="A20" s="19" t="s">
        <v>260</v>
      </c>
      <c r="B20" s="4" t="s">
        <v>266</v>
      </c>
      <c r="C20" s="4" t="s">
        <v>49</v>
      </c>
      <c r="D20" s="4" t="s">
        <v>265</v>
      </c>
      <c r="E20" s="23" t="s">
        <v>267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03"/>
  <sheetViews>
    <sheetView zoomScalePageLayoutView="0" workbookViewId="0" topLeftCell="A10">
      <selection activeCell="A28" sqref="A28:IV28"/>
    </sheetView>
  </sheetViews>
  <sheetFormatPr defaultColWidth="9.00390625" defaultRowHeight="12.75"/>
  <cols>
    <col min="1" max="1" width="26.00390625" style="4" bestFit="1" customWidth="1"/>
    <col min="2" max="2" width="29.00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0.8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5.125" style="4" bestFit="1" customWidth="1"/>
    <col min="14" max="16384" width="9.125" style="3" customWidth="1"/>
  </cols>
  <sheetData>
    <row r="1" spans="1:13" s="2" customFormat="1" ht="28.5" customHeight="1">
      <c r="A1" s="50" t="s">
        <v>105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2" customFormat="1" ht="61.5" customHeight="1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0</v>
      </c>
      <c r="B3" s="58" t="s">
        <v>7</v>
      </c>
      <c r="C3" s="58" t="s">
        <v>8</v>
      </c>
      <c r="D3" s="60" t="s">
        <v>11</v>
      </c>
      <c r="E3" s="60" t="s">
        <v>5</v>
      </c>
      <c r="F3" s="60" t="s">
        <v>9</v>
      </c>
      <c r="G3" s="60" t="s">
        <v>1</v>
      </c>
      <c r="H3" s="60"/>
      <c r="I3" s="60"/>
      <c r="J3" s="60"/>
      <c r="K3" s="60" t="s">
        <v>59</v>
      </c>
      <c r="L3" s="60" t="s">
        <v>4</v>
      </c>
      <c r="M3" s="44" t="s">
        <v>3</v>
      </c>
    </row>
    <row r="4" spans="1:13" s="1" customFormat="1" ht="21" customHeight="1" thickBot="1">
      <c r="A4" s="57"/>
      <c r="B4" s="59"/>
      <c r="C4" s="59"/>
      <c r="D4" s="59"/>
      <c r="E4" s="59"/>
      <c r="F4" s="59"/>
      <c r="G4" s="5">
        <v>1</v>
      </c>
      <c r="H4" s="5">
        <v>2</v>
      </c>
      <c r="I4" s="5">
        <v>3</v>
      </c>
      <c r="J4" s="5" t="s">
        <v>6</v>
      </c>
      <c r="K4" s="59"/>
      <c r="L4" s="59"/>
      <c r="M4" s="45"/>
    </row>
    <row r="5" spans="1:12" ht="15">
      <c r="A5" s="46" t="s">
        <v>106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3" ht="12.75">
      <c r="A6" s="10" t="s">
        <v>108</v>
      </c>
      <c r="B6" s="10" t="s">
        <v>109</v>
      </c>
      <c r="C6" s="10" t="s">
        <v>110</v>
      </c>
      <c r="D6" s="10" t="str">
        <f>"0,9912"</f>
        <v>0,9912</v>
      </c>
      <c r="E6" s="10" t="s">
        <v>111</v>
      </c>
      <c r="F6" s="10" t="s">
        <v>18</v>
      </c>
      <c r="G6" s="12" t="s">
        <v>112</v>
      </c>
      <c r="H6" s="12" t="s">
        <v>113</v>
      </c>
      <c r="I6" s="11" t="s">
        <v>114</v>
      </c>
      <c r="J6" s="11"/>
      <c r="K6" s="10" t="str">
        <f>"35,0"</f>
        <v>35,0</v>
      </c>
      <c r="L6" s="12" t="str">
        <f>"42,6690"</f>
        <v>42,6690</v>
      </c>
      <c r="M6" s="10" t="s">
        <v>590</v>
      </c>
    </row>
    <row r="7" spans="1:13" ht="12.75">
      <c r="A7" s="13" t="s">
        <v>116</v>
      </c>
      <c r="B7" s="13" t="s">
        <v>117</v>
      </c>
      <c r="C7" s="13" t="s">
        <v>118</v>
      </c>
      <c r="D7" s="13" t="str">
        <f>"0,9880"</f>
        <v>0,9880</v>
      </c>
      <c r="E7" s="13" t="s">
        <v>17</v>
      </c>
      <c r="F7" s="13" t="s">
        <v>18</v>
      </c>
      <c r="G7" s="14" t="s">
        <v>119</v>
      </c>
      <c r="H7" s="15" t="s">
        <v>119</v>
      </c>
      <c r="I7" s="14" t="s">
        <v>120</v>
      </c>
      <c r="J7" s="14"/>
      <c r="K7" s="13" t="str">
        <f>"50,0"</f>
        <v>50,0</v>
      </c>
      <c r="L7" s="15" t="str">
        <f>"49,4000"</f>
        <v>49,4000</v>
      </c>
      <c r="M7" s="13" t="s">
        <v>121</v>
      </c>
    </row>
    <row r="9" spans="1:12" ht="15">
      <c r="A9" s="48" t="s">
        <v>12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1:13" ht="12.75">
      <c r="A10" s="7" t="s">
        <v>123</v>
      </c>
      <c r="B10" s="7" t="s">
        <v>124</v>
      </c>
      <c r="C10" s="7" t="s">
        <v>125</v>
      </c>
      <c r="D10" s="7" t="str">
        <f>"0,9312"</f>
        <v>0,9312</v>
      </c>
      <c r="E10" s="7" t="s">
        <v>17</v>
      </c>
      <c r="F10" s="7" t="s">
        <v>18</v>
      </c>
      <c r="G10" s="8" t="s">
        <v>120</v>
      </c>
      <c r="H10" s="9" t="s">
        <v>120</v>
      </c>
      <c r="I10" s="8" t="s">
        <v>126</v>
      </c>
      <c r="J10" s="8"/>
      <c r="K10" s="7" t="str">
        <f>"52,5"</f>
        <v>52,5</v>
      </c>
      <c r="L10" s="9" t="str">
        <f>"55,2434"</f>
        <v>55,2434</v>
      </c>
      <c r="M10" s="7" t="s">
        <v>591</v>
      </c>
    </row>
    <row r="12" spans="1:12" ht="15">
      <c r="A12" s="48" t="s">
        <v>127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</row>
    <row r="13" spans="1:13" ht="12.75">
      <c r="A13" s="7" t="s">
        <v>129</v>
      </c>
      <c r="B13" s="7" t="s">
        <v>130</v>
      </c>
      <c r="C13" s="7" t="s">
        <v>131</v>
      </c>
      <c r="D13" s="7" t="str">
        <f>"0,8845"</f>
        <v>0,8845</v>
      </c>
      <c r="E13" s="7" t="s">
        <v>583</v>
      </c>
      <c r="F13" s="7" t="s">
        <v>83</v>
      </c>
      <c r="G13" s="9" t="s">
        <v>132</v>
      </c>
      <c r="H13" s="9" t="s">
        <v>119</v>
      </c>
      <c r="I13" s="8" t="s">
        <v>126</v>
      </c>
      <c r="J13" s="8"/>
      <c r="K13" s="7" t="str">
        <f>"50,0"</f>
        <v>50,0</v>
      </c>
      <c r="L13" s="9" t="str">
        <f>"47,2739"</f>
        <v>47,2739</v>
      </c>
      <c r="M13" s="7" t="s">
        <v>592</v>
      </c>
    </row>
    <row r="15" spans="1:12" ht="15">
      <c r="A15" s="48" t="s">
        <v>61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</row>
    <row r="16" spans="1:13" ht="12.75">
      <c r="A16" s="7" t="s">
        <v>134</v>
      </c>
      <c r="B16" s="7" t="s">
        <v>135</v>
      </c>
      <c r="C16" s="7" t="s">
        <v>136</v>
      </c>
      <c r="D16" s="7" t="str">
        <f>"0,8318"</f>
        <v>0,8318</v>
      </c>
      <c r="E16" s="7" t="s">
        <v>17</v>
      </c>
      <c r="F16" s="7" t="s">
        <v>18</v>
      </c>
      <c r="G16" s="9" t="s">
        <v>114</v>
      </c>
      <c r="H16" s="8" t="s">
        <v>132</v>
      </c>
      <c r="I16" s="9" t="s">
        <v>132</v>
      </c>
      <c r="J16" s="8"/>
      <c r="K16" s="7" t="str">
        <f>"45,0"</f>
        <v>45,0</v>
      </c>
      <c r="L16" s="9" t="str">
        <f>"38,9306"</f>
        <v>38,9306</v>
      </c>
      <c r="M16" s="7" t="s">
        <v>615</v>
      </c>
    </row>
    <row r="18" spans="1:12" ht="15">
      <c r="A18" s="48" t="s">
        <v>127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</row>
    <row r="19" spans="1:13" ht="12.75">
      <c r="A19" s="7" t="s">
        <v>138</v>
      </c>
      <c r="B19" s="7" t="s">
        <v>139</v>
      </c>
      <c r="C19" s="7" t="s">
        <v>140</v>
      </c>
      <c r="D19" s="7" t="str">
        <f>"0,8301"</f>
        <v>0,8301</v>
      </c>
      <c r="E19" s="7" t="s">
        <v>141</v>
      </c>
      <c r="F19" s="7" t="s">
        <v>142</v>
      </c>
      <c r="G19" s="8" t="s">
        <v>143</v>
      </c>
      <c r="H19" s="9" t="s">
        <v>143</v>
      </c>
      <c r="I19" s="8" t="s">
        <v>33</v>
      </c>
      <c r="J19" s="8"/>
      <c r="K19" s="7" t="str">
        <f>"90,0"</f>
        <v>90,0</v>
      </c>
      <c r="L19" s="9" t="str">
        <f>"74,7090"</f>
        <v>74,7090</v>
      </c>
      <c r="M19" s="7" t="s">
        <v>144</v>
      </c>
    </row>
    <row r="21" spans="1:12" ht="15">
      <c r="A21" s="48" t="s">
        <v>70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</row>
    <row r="22" spans="1:13" ht="12.75">
      <c r="A22" s="10" t="s">
        <v>146</v>
      </c>
      <c r="B22" s="10" t="s">
        <v>147</v>
      </c>
      <c r="C22" s="10" t="s">
        <v>148</v>
      </c>
      <c r="D22" s="10" t="str">
        <f>"0,6805"</f>
        <v>0,6805</v>
      </c>
      <c r="E22" s="10" t="s">
        <v>17</v>
      </c>
      <c r="F22" s="10" t="s">
        <v>149</v>
      </c>
      <c r="G22" s="11" t="s">
        <v>68</v>
      </c>
      <c r="H22" s="12" t="s">
        <v>68</v>
      </c>
      <c r="I22" s="11" t="s">
        <v>150</v>
      </c>
      <c r="J22" s="11"/>
      <c r="K22" s="10" t="str">
        <f>"130,0"</f>
        <v>130,0</v>
      </c>
      <c r="L22" s="12" t="str">
        <f>"88,4650"</f>
        <v>88,4650</v>
      </c>
      <c r="M22" s="10" t="s">
        <v>586</v>
      </c>
    </row>
    <row r="23" spans="1:13" ht="12.75">
      <c r="A23" s="24" t="s">
        <v>152</v>
      </c>
      <c r="B23" s="24" t="s">
        <v>153</v>
      </c>
      <c r="C23" s="24" t="s">
        <v>154</v>
      </c>
      <c r="D23" s="24" t="str">
        <f>"0,6774"</f>
        <v>0,6774</v>
      </c>
      <c r="E23" s="24" t="s">
        <v>17</v>
      </c>
      <c r="F23" s="24" t="s">
        <v>18</v>
      </c>
      <c r="G23" s="26" t="s">
        <v>33</v>
      </c>
      <c r="H23" s="25" t="s">
        <v>27</v>
      </c>
      <c r="I23" s="25" t="s">
        <v>27</v>
      </c>
      <c r="J23" s="25"/>
      <c r="K23" s="24" t="str">
        <f>"100,0"</f>
        <v>100,0</v>
      </c>
      <c r="L23" s="26" t="str">
        <f>"67,7400"</f>
        <v>67,7400</v>
      </c>
      <c r="M23" s="24" t="s">
        <v>615</v>
      </c>
    </row>
    <row r="24" spans="1:13" ht="12.75">
      <c r="A24" s="13" t="s">
        <v>156</v>
      </c>
      <c r="B24" s="13" t="s">
        <v>157</v>
      </c>
      <c r="C24" s="13" t="s">
        <v>154</v>
      </c>
      <c r="D24" s="13" t="str">
        <f>"0,6774"</f>
        <v>0,6774</v>
      </c>
      <c r="E24" s="13" t="s">
        <v>17</v>
      </c>
      <c r="F24" s="13" t="s">
        <v>18</v>
      </c>
      <c r="G24" s="15" t="s">
        <v>158</v>
      </c>
      <c r="H24" s="14" t="s">
        <v>159</v>
      </c>
      <c r="I24" s="14" t="s">
        <v>159</v>
      </c>
      <c r="J24" s="14"/>
      <c r="K24" s="13" t="str">
        <f>"137,5"</f>
        <v>137,5</v>
      </c>
      <c r="L24" s="15" t="str">
        <f>"94,8191"</f>
        <v>94,8191</v>
      </c>
      <c r="M24" s="13" t="s">
        <v>586</v>
      </c>
    </row>
    <row r="26" spans="1:12" ht="15">
      <c r="A26" s="48" t="s">
        <v>22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</row>
    <row r="27" spans="1:13" ht="12.75">
      <c r="A27" s="10" t="s">
        <v>161</v>
      </c>
      <c r="B27" s="10" t="s">
        <v>162</v>
      </c>
      <c r="C27" s="10" t="s">
        <v>163</v>
      </c>
      <c r="D27" s="10" t="str">
        <f>"0,6430"</f>
        <v>0,6430</v>
      </c>
      <c r="E27" s="10" t="s">
        <v>17</v>
      </c>
      <c r="F27" s="10" t="s">
        <v>76</v>
      </c>
      <c r="G27" s="12" t="s">
        <v>164</v>
      </c>
      <c r="H27" s="11" t="s">
        <v>67</v>
      </c>
      <c r="I27" s="12" t="s">
        <v>68</v>
      </c>
      <c r="J27" s="11"/>
      <c r="K27" s="10" t="str">
        <f>"130,0"</f>
        <v>130,0</v>
      </c>
      <c r="L27" s="12" t="str">
        <f>"84,4259"</f>
        <v>84,4259</v>
      </c>
      <c r="M27" s="10" t="s">
        <v>586</v>
      </c>
    </row>
    <row r="28" spans="1:13" ht="12.75">
      <c r="A28" s="13" t="s">
        <v>166</v>
      </c>
      <c r="B28" s="13" t="s">
        <v>167</v>
      </c>
      <c r="C28" s="13" t="s">
        <v>32</v>
      </c>
      <c r="D28" s="13" t="str">
        <f>"0,6851"</f>
        <v>0,6851</v>
      </c>
      <c r="E28" s="13" t="s">
        <v>17</v>
      </c>
      <c r="F28" s="13" t="s">
        <v>18</v>
      </c>
      <c r="G28" s="15" t="s">
        <v>68</v>
      </c>
      <c r="H28" s="15" t="s">
        <v>69</v>
      </c>
      <c r="I28" s="15" t="s">
        <v>158</v>
      </c>
      <c r="J28" s="14"/>
      <c r="K28" s="13" t="str">
        <f>"137,5"</f>
        <v>137,5</v>
      </c>
      <c r="L28" s="15" t="str">
        <f>"94,2013"</f>
        <v>94,2013</v>
      </c>
      <c r="M28" s="13" t="s">
        <v>586</v>
      </c>
    </row>
    <row r="30" spans="1:12" ht="15">
      <c r="A30" s="48" t="s">
        <v>168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</row>
    <row r="31" spans="1:13" ht="12.75">
      <c r="A31" s="10" t="s">
        <v>170</v>
      </c>
      <c r="B31" s="10" t="s">
        <v>171</v>
      </c>
      <c r="C31" s="10" t="s">
        <v>172</v>
      </c>
      <c r="D31" s="10" t="str">
        <f>"0,5930"</f>
        <v>0,5930</v>
      </c>
      <c r="E31" s="10" t="s">
        <v>111</v>
      </c>
      <c r="F31" s="10" t="s">
        <v>18</v>
      </c>
      <c r="G31" s="12" t="s">
        <v>159</v>
      </c>
      <c r="H31" s="12" t="s">
        <v>173</v>
      </c>
      <c r="I31" s="11" t="s">
        <v>84</v>
      </c>
      <c r="J31" s="11"/>
      <c r="K31" s="10" t="str">
        <f>"155,0"</f>
        <v>155,0</v>
      </c>
      <c r="L31" s="12" t="str">
        <f>"91,9150"</f>
        <v>91,9150</v>
      </c>
      <c r="M31" s="10" t="s">
        <v>590</v>
      </c>
    </row>
    <row r="32" spans="1:13" ht="12.75">
      <c r="A32" s="24" t="s">
        <v>175</v>
      </c>
      <c r="B32" s="24" t="s">
        <v>176</v>
      </c>
      <c r="C32" s="24" t="s">
        <v>177</v>
      </c>
      <c r="D32" s="24" t="str">
        <f>"0,5910"</f>
        <v>0,5910</v>
      </c>
      <c r="E32" s="24" t="s">
        <v>178</v>
      </c>
      <c r="F32" s="24" t="s">
        <v>18</v>
      </c>
      <c r="G32" s="26" t="s">
        <v>179</v>
      </c>
      <c r="H32" s="26" t="s">
        <v>180</v>
      </c>
      <c r="I32" s="26" t="s">
        <v>173</v>
      </c>
      <c r="J32" s="25"/>
      <c r="K32" s="24" t="str">
        <f>"155,0"</f>
        <v>155,0</v>
      </c>
      <c r="L32" s="26" t="str">
        <f>"91,6050"</f>
        <v>91,6050</v>
      </c>
      <c r="M32" s="24" t="s">
        <v>586</v>
      </c>
    </row>
    <row r="33" spans="1:13" ht="12.75">
      <c r="A33" s="24" t="s">
        <v>182</v>
      </c>
      <c r="B33" s="24" t="s">
        <v>183</v>
      </c>
      <c r="C33" s="24" t="s">
        <v>184</v>
      </c>
      <c r="D33" s="24" t="str">
        <f>"0,5952"</f>
        <v>0,5952</v>
      </c>
      <c r="E33" s="24" t="s">
        <v>17</v>
      </c>
      <c r="F33" s="24" t="s">
        <v>18</v>
      </c>
      <c r="G33" s="26" t="s">
        <v>179</v>
      </c>
      <c r="H33" s="25" t="s">
        <v>173</v>
      </c>
      <c r="I33" s="25" t="s">
        <v>173</v>
      </c>
      <c r="J33" s="25"/>
      <c r="K33" s="24" t="str">
        <f>"145,0"</f>
        <v>145,0</v>
      </c>
      <c r="L33" s="26" t="str">
        <f>"86,3040"</f>
        <v>86,3040</v>
      </c>
      <c r="M33" s="24" t="s">
        <v>586</v>
      </c>
    </row>
    <row r="34" spans="1:13" ht="12.75">
      <c r="A34" s="24" t="s">
        <v>186</v>
      </c>
      <c r="B34" s="24" t="s">
        <v>187</v>
      </c>
      <c r="C34" s="24" t="s">
        <v>188</v>
      </c>
      <c r="D34" s="24" t="str">
        <f>"0,5918"</f>
        <v>0,5918</v>
      </c>
      <c r="E34" s="24" t="s">
        <v>17</v>
      </c>
      <c r="F34" s="24" t="s">
        <v>149</v>
      </c>
      <c r="G34" s="25" t="s">
        <v>67</v>
      </c>
      <c r="H34" s="26" t="s">
        <v>67</v>
      </c>
      <c r="I34" s="25" t="s">
        <v>69</v>
      </c>
      <c r="J34" s="25"/>
      <c r="K34" s="24" t="str">
        <f>"125,0"</f>
        <v>125,0</v>
      </c>
      <c r="L34" s="26" t="str">
        <f>"73,9750"</f>
        <v>73,9750</v>
      </c>
      <c r="M34" s="24" t="s">
        <v>616</v>
      </c>
    </row>
    <row r="35" spans="1:13" ht="12.75">
      <c r="A35" s="13" t="s">
        <v>190</v>
      </c>
      <c r="B35" s="13" t="s">
        <v>191</v>
      </c>
      <c r="C35" s="13" t="s">
        <v>192</v>
      </c>
      <c r="D35" s="13" t="str">
        <f>"0,5995"</f>
        <v>0,5995</v>
      </c>
      <c r="E35" s="13" t="s">
        <v>17</v>
      </c>
      <c r="F35" s="13" t="s">
        <v>18</v>
      </c>
      <c r="G35" s="14" t="s">
        <v>69</v>
      </c>
      <c r="H35" s="15" t="s">
        <v>69</v>
      </c>
      <c r="I35" s="14" t="s">
        <v>193</v>
      </c>
      <c r="J35" s="14"/>
      <c r="K35" s="13" t="str">
        <f>"135,0"</f>
        <v>135,0</v>
      </c>
      <c r="L35" s="15" t="str">
        <f>"82,3893"</f>
        <v>82,3893</v>
      </c>
      <c r="M35" s="13" t="s">
        <v>586</v>
      </c>
    </row>
    <row r="37" spans="1:12" ht="15">
      <c r="A37" s="48" t="s">
        <v>78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</row>
    <row r="38" spans="1:13" ht="12.75">
      <c r="A38" s="10" t="s">
        <v>195</v>
      </c>
      <c r="B38" s="10" t="s">
        <v>196</v>
      </c>
      <c r="C38" s="10" t="s">
        <v>197</v>
      </c>
      <c r="D38" s="10" t="str">
        <f>"0,5666"</f>
        <v>0,5666</v>
      </c>
      <c r="E38" s="10" t="s">
        <v>17</v>
      </c>
      <c r="F38" s="10" t="s">
        <v>18</v>
      </c>
      <c r="G38" s="12" t="s">
        <v>198</v>
      </c>
      <c r="H38" s="12" t="s">
        <v>93</v>
      </c>
      <c r="I38" s="12" t="s">
        <v>199</v>
      </c>
      <c r="J38" s="11"/>
      <c r="K38" s="10" t="str">
        <f>"180,0"</f>
        <v>180,0</v>
      </c>
      <c r="L38" s="12" t="str">
        <f>"101,9880"</f>
        <v>101,9880</v>
      </c>
      <c r="M38" s="10" t="s">
        <v>586</v>
      </c>
    </row>
    <row r="39" spans="1:13" ht="12.75">
      <c r="A39" s="24" t="s">
        <v>201</v>
      </c>
      <c r="B39" s="24" t="s">
        <v>202</v>
      </c>
      <c r="C39" s="24" t="s">
        <v>203</v>
      </c>
      <c r="D39" s="24" t="str">
        <f>"0,5613"</f>
        <v>0,5613</v>
      </c>
      <c r="E39" s="24" t="s">
        <v>17</v>
      </c>
      <c r="F39" s="24" t="s">
        <v>66</v>
      </c>
      <c r="G39" s="26" t="s">
        <v>198</v>
      </c>
      <c r="H39" s="26" t="s">
        <v>85</v>
      </c>
      <c r="I39" s="26" t="s">
        <v>199</v>
      </c>
      <c r="J39" s="25"/>
      <c r="K39" s="24" t="str">
        <f>"180,0"</f>
        <v>180,0</v>
      </c>
      <c r="L39" s="26" t="str">
        <f>"101,0340"</f>
        <v>101,0340</v>
      </c>
      <c r="M39" s="24" t="s">
        <v>586</v>
      </c>
    </row>
    <row r="40" spans="1:13" ht="12.75">
      <c r="A40" s="24" t="s">
        <v>205</v>
      </c>
      <c r="B40" s="24" t="s">
        <v>206</v>
      </c>
      <c r="C40" s="24" t="s">
        <v>207</v>
      </c>
      <c r="D40" s="24" t="str">
        <f>"0,5633"</f>
        <v>0,5633</v>
      </c>
      <c r="E40" s="24" t="s">
        <v>141</v>
      </c>
      <c r="F40" s="24" t="s">
        <v>142</v>
      </c>
      <c r="G40" s="26" t="s">
        <v>208</v>
      </c>
      <c r="H40" s="26" t="s">
        <v>209</v>
      </c>
      <c r="I40" s="25" t="s">
        <v>210</v>
      </c>
      <c r="J40" s="25"/>
      <c r="K40" s="24" t="str">
        <f>"157,5"</f>
        <v>157,5</v>
      </c>
      <c r="L40" s="26" t="str">
        <f>"88,7198"</f>
        <v>88,7198</v>
      </c>
      <c r="M40" s="24" t="s">
        <v>617</v>
      </c>
    </row>
    <row r="41" spans="1:13" ht="12.75">
      <c r="A41" s="13" t="s">
        <v>212</v>
      </c>
      <c r="B41" s="13" t="s">
        <v>213</v>
      </c>
      <c r="C41" s="13" t="s">
        <v>214</v>
      </c>
      <c r="D41" s="13" t="str">
        <f>"0,5587"</f>
        <v>0,5587</v>
      </c>
      <c r="E41" s="13" t="s">
        <v>17</v>
      </c>
      <c r="F41" s="13" t="s">
        <v>18</v>
      </c>
      <c r="G41" s="14" t="s">
        <v>67</v>
      </c>
      <c r="H41" s="14" t="s">
        <v>67</v>
      </c>
      <c r="I41" s="15" t="s">
        <v>67</v>
      </c>
      <c r="J41" s="14"/>
      <c r="K41" s="13" t="str">
        <f>"125,0"</f>
        <v>125,0</v>
      </c>
      <c r="L41" s="15" t="str">
        <f>"71,1009"</f>
        <v>71,1009</v>
      </c>
      <c r="M41" s="13" t="s">
        <v>586</v>
      </c>
    </row>
    <row r="43" spans="1:12" ht="15">
      <c r="A43" s="48" t="s">
        <v>215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</row>
    <row r="44" spans="1:13" ht="12.75">
      <c r="A44" s="10" t="s">
        <v>217</v>
      </c>
      <c r="B44" s="10" t="s">
        <v>218</v>
      </c>
      <c r="C44" s="10" t="s">
        <v>219</v>
      </c>
      <c r="D44" s="10" t="str">
        <f>"0,5401"</f>
        <v>0,5401</v>
      </c>
      <c r="E44" s="10" t="s">
        <v>17</v>
      </c>
      <c r="F44" s="10" t="s">
        <v>83</v>
      </c>
      <c r="G44" s="12" t="s">
        <v>210</v>
      </c>
      <c r="H44" s="12" t="s">
        <v>220</v>
      </c>
      <c r="I44" s="12" t="s">
        <v>85</v>
      </c>
      <c r="J44" s="11"/>
      <c r="K44" s="10" t="str">
        <f>"172,5"</f>
        <v>172,5</v>
      </c>
      <c r="L44" s="12" t="str">
        <f>"93,1672"</f>
        <v>93,1672</v>
      </c>
      <c r="M44" s="10" t="s">
        <v>592</v>
      </c>
    </row>
    <row r="45" spans="1:13" ht="12.75">
      <c r="A45" s="24" t="s">
        <v>222</v>
      </c>
      <c r="B45" s="24" t="s">
        <v>223</v>
      </c>
      <c r="C45" s="24" t="s">
        <v>224</v>
      </c>
      <c r="D45" s="24" t="str">
        <f>"0,5424"</f>
        <v>0,5424</v>
      </c>
      <c r="E45" s="24" t="s">
        <v>17</v>
      </c>
      <c r="F45" s="24" t="s">
        <v>18</v>
      </c>
      <c r="G45" s="26" t="s">
        <v>220</v>
      </c>
      <c r="H45" s="25" t="s">
        <v>199</v>
      </c>
      <c r="I45" s="25" t="s">
        <v>199</v>
      </c>
      <c r="J45" s="25"/>
      <c r="K45" s="24" t="str">
        <f>"167,5"</f>
        <v>167,5</v>
      </c>
      <c r="L45" s="26" t="str">
        <f>"90,8520"</f>
        <v>90,8520</v>
      </c>
      <c r="M45" s="24" t="s">
        <v>586</v>
      </c>
    </row>
    <row r="46" spans="1:13" ht="12.75">
      <c r="A46" s="13" t="s">
        <v>217</v>
      </c>
      <c r="B46" s="13" t="s">
        <v>225</v>
      </c>
      <c r="C46" s="13" t="s">
        <v>219</v>
      </c>
      <c r="D46" s="13" t="str">
        <f>"0,5401"</f>
        <v>0,5401</v>
      </c>
      <c r="E46" s="13" t="s">
        <v>17</v>
      </c>
      <c r="F46" s="13" t="s">
        <v>83</v>
      </c>
      <c r="G46" s="15" t="s">
        <v>210</v>
      </c>
      <c r="H46" s="15" t="s">
        <v>220</v>
      </c>
      <c r="I46" s="15" t="s">
        <v>85</v>
      </c>
      <c r="J46" s="14"/>
      <c r="K46" s="13" t="str">
        <f>"172,5"</f>
        <v>172,5</v>
      </c>
      <c r="L46" s="15" t="str">
        <f>"104,0678"</f>
        <v>104,0678</v>
      </c>
      <c r="M46" s="13" t="s">
        <v>592</v>
      </c>
    </row>
    <row r="48" spans="1:12" ht="15">
      <c r="A48" s="48" t="s">
        <v>87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</row>
    <row r="49" spans="1:13" ht="12.75">
      <c r="A49" s="7" t="s">
        <v>227</v>
      </c>
      <c r="B49" s="7" t="s">
        <v>228</v>
      </c>
      <c r="C49" s="7" t="s">
        <v>229</v>
      </c>
      <c r="D49" s="7" t="str">
        <f>"0,5353"</f>
        <v>0,5353</v>
      </c>
      <c r="E49" s="7" t="s">
        <v>17</v>
      </c>
      <c r="F49" s="7" t="s">
        <v>18</v>
      </c>
      <c r="G49" s="9" t="s">
        <v>230</v>
      </c>
      <c r="H49" s="9" t="s">
        <v>231</v>
      </c>
      <c r="I49" s="8" t="s">
        <v>199</v>
      </c>
      <c r="J49" s="8"/>
      <c r="K49" s="7" t="str">
        <f>"177,5"</f>
        <v>177,5</v>
      </c>
      <c r="L49" s="9" t="str">
        <f>"95,0158"</f>
        <v>95,0158</v>
      </c>
      <c r="M49" s="7" t="s">
        <v>620</v>
      </c>
    </row>
    <row r="51" spans="5:6" ht="15">
      <c r="E51" s="16" t="s">
        <v>35</v>
      </c>
      <c r="F51" s="4" t="s">
        <v>474</v>
      </c>
    </row>
    <row r="52" spans="5:6" ht="15">
      <c r="E52" s="16" t="s">
        <v>36</v>
      </c>
      <c r="F52" s="4" t="s">
        <v>475</v>
      </c>
    </row>
    <row r="53" spans="5:6" ht="15">
      <c r="E53" s="16" t="s">
        <v>37</v>
      </c>
      <c r="F53" s="4" t="s">
        <v>476</v>
      </c>
    </row>
    <row r="54" spans="5:6" ht="15">
      <c r="E54" s="16" t="s">
        <v>38</v>
      </c>
      <c r="F54" s="4" t="s">
        <v>477</v>
      </c>
    </row>
    <row r="55" spans="5:6" ht="15">
      <c r="E55" s="16" t="s">
        <v>38</v>
      </c>
      <c r="F55" s="4" t="s">
        <v>478</v>
      </c>
    </row>
    <row r="56" spans="5:6" ht="15">
      <c r="E56" s="16" t="s">
        <v>39</v>
      </c>
      <c r="F56" s="4" t="s">
        <v>479</v>
      </c>
    </row>
    <row r="57" ht="15">
      <c r="E57" s="16"/>
    </row>
    <row r="59" spans="1:2" ht="18">
      <c r="A59" s="17" t="s">
        <v>40</v>
      </c>
      <c r="B59" s="17"/>
    </row>
    <row r="60" spans="1:2" ht="15">
      <c r="A60" s="18" t="s">
        <v>41</v>
      </c>
      <c r="B60" s="18"/>
    </row>
    <row r="61" spans="1:2" ht="14.25">
      <c r="A61" s="20"/>
      <c r="B61" s="21" t="s">
        <v>42</v>
      </c>
    </row>
    <row r="62" spans="1:5" ht="15">
      <c r="A62" s="22" t="s">
        <v>43</v>
      </c>
      <c r="B62" s="22" t="s">
        <v>44</v>
      </c>
      <c r="C62" s="22" t="s">
        <v>45</v>
      </c>
      <c r="D62" s="22" t="s">
        <v>46</v>
      </c>
      <c r="E62" s="22" t="s">
        <v>47</v>
      </c>
    </row>
    <row r="63" spans="1:5" ht="12.75">
      <c r="A63" s="19" t="s">
        <v>122</v>
      </c>
      <c r="B63" s="4" t="s">
        <v>48</v>
      </c>
      <c r="C63" s="4" t="s">
        <v>49</v>
      </c>
      <c r="D63" s="4" t="s">
        <v>120</v>
      </c>
      <c r="E63" s="23" t="s">
        <v>232</v>
      </c>
    </row>
    <row r="64" spans="1:5" ht="12.75">
      <c r="A64" s="19" t="s">
        <v>107</v>
      </c>
      <c r="B64" s="4" t="s">
        <v>233</v>
      </c>
      <c r="C64" s="4" t="s">
        <v>234</v>
      </c>
      <c r="D64" s="4" t="s">
        <v>113</v>
      </c>
      <c r="E64" s="23" t="s">
        <v>235</v>
      </c>
    </row>
    <row r="65" spans="1:5" ht="12.75">
      <c r="A65" s="19" t="s">
        <v>133</v>
      </c>
      <c r="B65" s="4" t="s">
        <v>236</v>
      </c>
      <c r="C65" s="4" t="s">
        <v>20</v>
      </c>
      <c r="D65" s="4" t="s">
        <v>132</v>
      </c>
      <c r="E65" s="23" t="s">
        <v>237</v>
      </c>
    </row>
    <row r="67" spans="1:2" ht="14.25">
      <c r="A67" s="20"/>
      <c r="B67" s="21" t="s">
        <v>96</v>
      </c>
    </row>
    <row r="68" spans="1:5" ht="15">
      <c r="A68" s="22" t="s">
        <v>43</v>
      </c>
      <c r="B68" s="22" t="s">
        <v>44</v>
      </c>
      <c r="C68" s="22" t="s">
        <v>45</v>
      </c>
      <c r="D68" s="22" t="s">
        <v>46</v>
      </c>
      <c r="E68" s="22" t="s">
        <v>47</v>
      </c>
    </row>
    <row r="69" spans="1:5" ht="12.75">
      <c r="A69" s="19" t="s">
        <v>115</v>
      </c>
      <c r="B69" s="4" t="s">
        <v>96</v>
      </c>
      <c r="C69" s="4" t="s">
        <v>234</v>
      </c>
      <c r="D69" s="4" t="s">
        <v>119</v>
      </c>
      <c r="E69" s="23" t="s">
        <v>238</v>
      </c>
    </row>
    <row r="71" spans="1:2" ht="14.25">
      <c r="A71" s="20"/>
      <c r="B71" s="21" t="s">
        <v>56</v>
      </c>
    </row>
    <row r="72" spans="1:5" ht="15">
      <c r="A72" s="22" t="s">
        <v>43</v>
      </c>
      <c r="B72" s="22" t="s">
        <v>44</v>
      </c>
      <c r="C72" s="22" t="s">
        <v>45</v>
      </c>
      <c r="D72" s="22" t="s">
        <v>46</v>
      </c>
      <c r="E72" s="22" t="s">
        <v>47</v>
      </c>
    </row>
    <row r="73" spans="1:5" ht="12.75">
      <c r="A73" s="19" t="s">
        <v>128</v>
      </c>
      <c r="B73" s="4" t="s">
        <v>103</v>
      </c>
      <c r="C73" s="4" t="s">
        <v>19</v>
      </c>
      <c r="D73" s="4" t="s">
        <v>119</v>
      </c>
      <c r="E73" s="23" t="s">
        <v>239</v>
      </c>
    </row>
    <row r="76" spans="1:2" ht="15">
      <c r="A76" s="18" t="s">
        <v>51</v>
      </c>
      <c r="B76" s="18"/>
    </row>
    <row r="77" spans="1:2" ht="14.25">
      <c r="A77" s="20"/>
      <c r="B77" s="21" t="s">
        <v>52</v>
      </c>
    </row>
    <row r="78" spans="1:5" ht="15">
      <c r="A78" s="22" t="s">
        <v>43</v>
      </c>
      <c r="B78" s="22" t="s">
        <v>44</v>
      </c>
      <c r="C78" s="22" t="s">
        <v>45</v>
      </c>
      <c r="D78" s="22" t="s">
        <v>46</v>
      </c>
      <c r="E78" s="22" t="s">
        <v>47</v>
      </c>
    </row>
    <row r="79" spans="1:5" ht="12.75">
      <c r="A79" s="19" t="s">
        <v>160</v>
      </c>
      <c r="B79" s="4" t="s">
        <v>53</v>
      </c>
      <c r="C79" s="4" t="s">
        <v>54</v>
      </c>
      <c r="D79" s="4" t="s">
        <v>68</v>
      </c>
      <c r="E79" s="23" t="s">
        <v>240</v>
      </c>
    </row>
    <row r="81" spans="1:2" ht="14.25">
      <c r="A81" s="20"/>
      <c r="B81" s="21" t="s">
        <v>96</v>
      </c>
    </row>
    <row r="82" spans="1:5" ht="15">
      <c r="A82" s="22" t="s">
        <v>43</v>
      </c>
      <c r="B82" s="22" t="s">
        <v>44</v>
      </c>
      <c r="C82" s="22" t="s">
        <v>45</v>
      </c>
      <c r="D82" s="22" t="s">
        <v>46</v>
      </c>
      <c r="E82" s="22" t="s">
        <v>47</v>
      </c>
    </row>
    <row r="83" spans="1:5" ht="12.75">
      <c r="A83" s="19" t="s">
        <v>194</v>
      </c>
      <c r="B83" s="4" t="s">
        <v>96</v>
      </c>
      <c r="C83" s="4" t="s">
        <v>33</v>
      </c>
      <c r="D83" s="4" t="s">
        <v>199</v>
      </c>
      <c r="E83" s="23" t="s">
        <v>241</v>
      </c>
    </row>
    <row r="84" spans="1:5" ht="12.75">
      <c r="A84" s="19" t="s">
        <v>200</v>
      </c>
      <c r="B84" s="4" t="s">
        <v>96</v>
      </c>
      <c r="C84" s="4" t="s">
        <v>33</v>
      </c>
      <c r="D84" s="4" t="s">
        <v>199</v>
      </c>
      <c r="E84" s="23" t="s">
        <v>242</v>
      </c>
    </row>
    <row r="85" spans="1:5" ht="12.75">
      <c r="A85" s="19" t="s">
        <v>165</v>
      </c>
      <c r="B85" s="4" t="s">
        <v>96</v>
      </c>
      <c r="C85" s="4" t="s">
        <v>54</v>
      </c>
      <c r="D85" s="4" t="s">
        <v>158</v>
      </c>
      <c r="E85" s="23" t="s">
        <v>243</v>
      </c>
    </row>
    <row r="86" spans="1:5" ht="12.75">
      <c r="A86" s="19" t="s">
        <v>216</v>
      </c>
      <c r="B86" s="4" t="s">
        <v>96</v>
      </c>
      <c r="C86" s="4" t="s">
        <v>27</v>
      </c>
      <c r="D86" s="4" t="s">
        <v>85</v>
      </c>
      <c r="E86" s="23" t="s">
        <v>244</v>
      </c>
    </row>
    <row r="87" spans="1:5" ht="12.75">
      <c r="A87" s="19" t="s">
        <v>169</v>
      </c>
      <c r="B87" s="4" t="s">
        <v>96</v>
      </c>
      <c r="C87" s="4" t="s">
        <v>143</v>
      </c>
      <c r="D87" s="4" t="s">
        <v>173</v>
      </c>
      <c r="E87" s="23" t="s">
        <v>245</v>
      </c>
    </row>
    <row r="88" spans="1:5" ht="12.75">
      <c r="A88" s="19" t="s">
        <v>174</v>
      </c>
      <c r="B88" s="4" t="s">
        <v>96</v>
      </c>
      <c r="C88" s="4" t="s">
        <v>143</v>
      </c>
      <c r="D88" s="4" t="s">
        <v>173</v>
      </c>
      <c r="E88" s="23" t="s">
        <v>246</v>
      </c>
    </row>
    <row r="89" spans="1:5" ht="12.75">
      <c r="A89" s="19" t="s">
        <v>221</v>
      </c>
      <c r="B89" s="4" t="s">
        <v>96</v>
      </c>
      <c r="C89" s="4" t="s">
        <v>27</v>
      </c>
      <c r="D89" s="4" t="s">
        <v>220</v>
      </c>
      <c r="E89" s="23" t="s">
        <v>247</v>
      </c>
    </row>
    <row r="90" spans="1:5" ht="12.75">
      <c r="A90" s="19" t="s">
        <v>204</v>
      </c>
      <c r="B90" s="4" t="s">
        <v>96</v>
      </c>
      <c r="C90" s="4" t="s">
        <v>33</v>
      </c>
      <c r="D90" s="4" t="s">
        <v>209</v>
      </c>
      <c r="E90" s="23" t="s">
        <v>248</v>
      </c>
    </row>
    <row r="91" spans="1:5" ht="12.75">
      <c r="A91" s="19" t="s">
        <v>145</v>
      </c>
      <c r="B91" s="4" t="s">
        <v>96</v>
      </c>
      <c r="C91" s="4" t="s">
        <v>97</v>
      </c>
      <c r="D91" s="4" t="s">
        <v>68</v>
      </c>
      <c r="E91" s="23" t="s">
        <v>249</v>
      </c>
    </row>
    <row r="92" spans="1:5" ht="12.75">
      <c r="A92" s="19" t="s">
        <v>181</v>
      </c>
      <c r="B92" s="4" t="s">
        <v>96</v>
      </c>
      <c r="C92" s="4" t="s">
        <v>143</v>
      </c>
      <c r="D92" s="4" t="s">
        <v>179</v>
      </c>
      <c r="E92" s="23" t="s">
        <v>250</v>
      </c>
    </row>
    <row r="93" spans="1:5" ht="12.75">
      <c r="A93" s="19" t="s">
        <v>137</v>
      </c>
      <c r="B93" s="4" t="s">
        <v>96</v>
      </c>
      <c r="C93" s="4" t="s">
        <v>19</v>
      </c>
      <c r="D93" s="4" t="s">
        <v>143</v>
      </c>
      <c r="E93" s="23" t="s">
        <v>251</v>
      </c>
    </row>
    <row r="94" spans="1:5" ht="12.75">
      <c r="A94" s="19" t="s">
        <v>185</v>
      </c>
      <c r="B94" s="4" t="s">
        <v>96</v>
      </c>
      <c r="C94" s="4" t="s">
        <v>143</v>
      </c>
      <c r="D94" s="4" t="s">
        <v>67</v>
      </c>
      <c r="E94" s="23" t="s">
        <v>252</v>
      </c>
    </row>
    <row r="95" spans="1:5" ht="12.75">
      <c r="A95" s="19" t="s">
        <v>151</v>
      </c>
      <c r="B95" s="4" t="s">
        <v>96</v>
      </c>
      <c r="C95" s="4" t="s">
        <v>97</v>
      </c>
      <c r="D95" s="4" t="s">
        <v>33</v>
      </c>
      <c r="E95" s="23" t="s">
        <v>253</v>
      </c>
    </row>
    <row r="97" spans="1:2" ht="14.25">
      <c r="A97" s="20"/>
      <c r="B97" s="21" t="s">
        <v>56</v>
      </c>
    </row>
    <row r="98" spans="1:5" ht="15">
      <c r="A98" s="22" t="s">
        <v>43</v>
      </c>
      <c r="B98" s="22" t="s">
        <v>44</v>
      </c>
      <c r="C98" s="22" t="s">
        <v>45</v>
      </c>
      <c r="D98" s="22" t="s">
        <v>46</v>
      </c>
      <c r="E98" s="22" t="s">
        <v>47</v>
      </c>
    </row>
    <row r="99" spans="1:5" ht="12.75">
      <c r="A99" s="19" t="s">
        <v>216</v>
      </c>
      <c r="B99" s="4" t="s">
        <v>103</v>
      </c>
      <c r="C99" s="4" t="s">
        <v>27</v>
      </c>
      <c r="D99" s="4" t="s">
        <v>85</v>
      </c>
      <c r="E99" s="23" t="s">
        <v>254</v>
      </c>
    </row>
    <row r="100" spans="1:5" ht="12.75">
      <c r="A100" s="19" t="s">
        <v>226</v>
      </c>
      <c r="B100" s="4" t="s">
        <v>101</v>
      </c>
      <c r="C100" s="4" t="s">
        <v>67</v>
      </c>
      <c r="D100" s="4" t="s">
        <v>231</v>
      </c>
      <c r="E100" s="23" t="s">
        <v>255</v>
      </c>
    </row>
    <row r="101" spans="1:5" ht="12.75">
      <c r="A101" s="19" t="s">
        <v>155</v>
      </c>
      <c r="B101" s="4" t="s">
        <v>101</v>
      </c>
      <c r="C101" s="4" t="s">
        <v>97</v>
      </c>
      <c r="D101" s="4" t="s">
        <v>158</v>
      </c>
      <c r="E101" s="23" t="s">
        <v>256</v>
      </c>
    </row>
    <row r="102" spans="1:5" ht="12.75">
      <c r="A102" s="19" t="s">
        <v>189</v>
      </c>
      <c r="B102" s="4" t="s">
        <v>101</v>
      </c>
      <c r="C102" s="4" t="s">
        <v>143</v>
      </c>
      <c r="D102" s="4" t="s">
        <v>69</v>
      </c>
      <c r="E102" s="23" t="s">
        <v>257</v>
      </c>
    </row>
    <row r="103" spans="1:5" ht="12.75">
      <c r="A103" s="19" t="s">
        <v>211</v>
      </c>
      <c r="B103" s="4" t="s">
        <v>101</v>
      </c>
      <c r="C103" s="4" t="s">
        <v>33</v>
      </c>
      <c r="D103" s="4" t="s">
        <v>67</v>
      </c>
      <c r="E103" s="23" t="s">
        <v>258</v>
      </c>
    </row>
  </sheetData>
  <sheetProtection/>
  <mergeCells count="22">
    <mergeCell ref="A12:L12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9:L9"/>
    <mergeCell ref="A43:L43"/>
    <mergeCell ref="A48:L48"/>
    <mergeCell ref="A15:L15"/>
    <mergeCell ref="A18:L18"/>
    <mergeCell ref="A21:L21"/>
    <mergeCell ref="A26:L26"/>
    <mergeCell ref="A30:L30"/>
    <mergeCell ref="A37:L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10.75390625" style="4" bestFit="1" customWidth="1"/>
    <col min="5" max="5" width="22.75390625" style="4" bestFit="1" customWidth="1"/>
    <col min="6" max="6" width="24.125" style="4" bestFit="1" customWidth="1"/>
    <col min="7" max="7" width="4.625" style="3" bestFit="1" customWidth="1"/>
    <col min="8" max="8" width="10.375" style="31" bestFit="1" customWidth="1"/>
    <col min="9" max="9" width="7.875" style="4" bestFit="1" customWidth="1"/>
    <col min="10" max="10" width="9.625" style="3" bestFit="1" customWidth="1"/>
    <col min="11" max="11" width="15.875" style="4" bestFit="1" customWidth="1"/>
    <col min="12" max="16384" width="9.125" style="3" customWidth="1"/>
  </cols>
  <sheetData>
    <row r="1" spans="1:11" s="2" customFormat="1" ht="28.5" customHeight="1">
      <c r="A1" s="50" t="s">
        <v>572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s="2" customFormat="1" ht="72" customHeight="1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5"/>
    </row>
    <row r="3" spans="1:11" s="1" customFormat="1" ht="15">
      <c r="A3" s="56" t="s">
        <v>0</v>
      </c>
      <c r="B3" s="58" t="s">
        <v>7</v>
      </c>
      <c r="C3" s="58" t="s">
        <v>8</v>
      </c>
      <c r="D3" s="60" t="s">
        <v>549</v>
      </c>
      <c r="E3" s="60" t="s">
        <v>5</v>
      </c>
      <c r="F3" s="60" t="s">
        <v>9</v>
      </c>
      <c r="G3" s="60" t="s">
        <v>509</v>
      </c>
      <c r="H3" s="60"/>
      <c r="I3" s="60" t="s">
        <v>510</v>
      </c>
      <c r="J3" s="60" t="s">
        <v>4</v>
      </c>
      <c r="K3" s="44" t="s">
        <v>3</v>
      </c>
    </row>
    <row r="4" spans="1:11" s="1" customFormat="1" ht="15.75" thickBot="1">
      <c r="A4" s="57"/>
      <c r="B4" s="59"/>
      <c r="C4" s="59"/>
      <c r="D4" s="59"/>
      <c r="E4" s="59"/>
      <c r="F4" s="59"/>
      <c r="G4" s="29" t="s">
        <v>511</v>
      </c>
      <c r="H4" s="30" t="s">
        <v>512</v>
      </c>
      <c r="I4" s="59"/>
      <c r="J4" s="59"/>
      <c r="K4" s="45"/>
    </row>
    <row r="5" spans="1:10" ht="15">
      <c r="A5" s="46" t="s">
        <v>12</v>
      </c>
      <c r="B5" s="47"/>
      <c r="C5" s="47"/>
      <c r="D5" s="47"/>
      <c r="E5" s="47"/>
      <c r="F5" s="47"/>
      <c r="G5" s="47"/>
      <c r="H5" s="47"/>
      <c r="I5" s="47"/>
      <c r="J5" s="47"/>
    </row>
    <row r="6" spans="1:11" ht="12.75">
      <c r="A6" s="7" t="s">
        <v>358</v>
      </c>
      <c r="B6" s="7" t="s">
        <v>360</v>
      </c>
      <c r="C6" s="7" t="s">
        <v>573</v>
      </c>
      <c r="D6" s="40" t="s">
        <v>642</v>
      </c>
      <c r="E6" s="7" t="s">
        <v>569</v>
      </c>
      <c r="F6" s="7" t="s">
        <v>580</v>
      </c>
      <c r="G6" s="9" t="s">
        <v>574</v>
      </c>
      <c r="H6" s="32">
        <v>41</v>
      </c>
      <c r="I6" s="7" t="s">
        <v>575</v>
      </c>
      <c r="J6" s="41" t="s">
        <v>645</v>
      </c>
      <c r="K6" s="7" t="s">
        <v>579</v>
      </c>
    </row>
    <row r="7" ht="13.5" thickBot="1"/>
    <row r="8" spans="1:11" s="1" customFormat="1" ht="15">
      <c r="A8" s="56" t="s">
        <v>0</v>
      </c>
      <c r="B8" s="58" t="s">
        <v>7</v>
      </c>
      <c r="C8" s="58" t="s">
        <v>8</v>
      </c>
      <c r="D8" s="60" t="s">
        <v>549</v>
      </c>
      <c r="E8" s="60" t="s">
        <v>5</v>
      </c>
      <c r="F8" s="60" t="s">
        <v>9</v>
      </c>
      <c r="G8" s="60" t="s">
        <v>509</v>
      </c>
      <c r="H8" s="60"/>
      <c r="I8" s="60" t="s">
        <v>510</v>
      </c>
      <c r="J8" s="60" t="s">
        <v>4</v>
      </c>
      <c r="K8" s="44" t="s">
        <v>3</v>
      </c>
    </row>
    <row r="9" spans="1:11" s="1" customFormat="1" ht="15.75" thickBot="1">
      <c r="A9" s="57"/>
      <c r="B9" s="59"/>
      <c r="C9" s="59"/>
      <c r="D9" s="59"/>
      <c r="E9" s="59"/>
      <c r="F9" s="59"/>
      <c r="G9" s="29" t="s">
        <v>511</v>
      </c>
      <c r="H9" s="30" t="s">
        <v>512</v>
      </c>
      <c r="I9" s="59"/>
      <c r="J9" s="59"/>
      <c r="K9" s="45"/>
    </row>
    <row r="10" spans="1:10" ht="15">
      <c r="A10" s="46" t="s">
        <v>106</v>
      </c>
      <c r="B10" s="47"/>
      <c r="C10" s="47"/>
      <c r="D10" s="47"/>
      <c r="E10" s="47"/>
      <c r="F10" s="47"/>
      <c r="G10" s="47"/>
      <c r="H10" s="47"/>
      <c r="I10" s="47"/>
      <c r="J10" s="47"/>
    </row>
    <row r="11" spans="1:11" ht="12.75">
      <c r="A11" s="7" t="s">
        <v>115</v>
      </c>
      <c r="B11" s="7" t="s">
        <v>117</v>
      </c>
      <c r="C11" s="7" t="s">
        <v>576</v>
      </c>
      <c r="D11" s="40" t="s">
        <v>643</v>
      </c>
      <c r="E11" s="7" t="s">
        <v>569</v>
      </c>
      <c r="F11" s="7" t="s">
        <v>580</v>
      </c>
      <c r="G11" s="9" t="s">
        <v>120</v>
      </c>
      <c r="H11" s="32">
        <v>40</v>
      </c>
      <c r="I11" s="7" t="s">
        <v>577</v>
      </c>
      <c r="J11" s="41" t="s">
        <v>644</v>
      </c>
      <c r="K11" s="7" t="s">
        <v>579</v>
      </c>
    </row>
    <row r="13" spans="5:6" ht="15">
      <c r="E13" s="16" t="s">
        <v>35</v>
      </c>
      <c r="F13" s="4" t="s">
        <v>474</v>
      </c>
    </row>
    <row r="14" spans="5:6" ht="15">
      <c r="E14" s="16" t="s">
        <v>36</v>
      </c>
      <c r="F14" s="4" t="s">
        <v>475</v>
      </c>
    </row>
    <row r="15" spans="5:6" ht="15">
      <c r="E15" s="16" t="s">
        <v>37</v>
      </c>
      <c r="F15" s="4" t="s">
        <v>476</v>
      </c>
    </row>
    <row r="16" spans="5:6" ht="15">
      <c r="E16" s="16" t="s">
        <v>38</v>
      </c>
      <c r="F16" s="4" t="s">
        <v>477</v>
      </c>
    </row>
    <row r="17" spans="5:6" ht="15">
      <c r="E17" s="16" t="s">
        <v>38</v>
      </c>
      <c r="F17" s="4" t="s">
        <v>478</v>
      </c>
    </row>
    <row r="18" spans="5:6" ht="15">
      <c r="E18" s="16" t="s">
        <v>39</v>
      </c>
      <c r="F18" s="4" t="s">
        <v>479</v>
      </c>
    </row>
    <row r="19" ht="15">
      <c r="E19" s="16"/>
    </row>
    <row r="21" spans="1:2" ht="18">
      <c r="A21" s="17" t="s">
        <v>40</v>
      </c>
      <c r="B21" s="17"/>
    </row>
    <row r="22" spans="1:2" ht="15">
      <c r="A22" s="18" t="s">
        <v>578</v>
      </c>
      <c r="B22" s="18"/>
    </row>
    <row r="23" spans="1:2" ht="14.25">
      <c r="A23" s="20"/>
      <c r="B23" s="21" t="s">
        <v>96</v>
      </c>
    </row>
    <row r="24" spans="1:5" ht="15">
      <c r="A24" s="22" t="s">
        <v>43</v>
      </c>
      <c r="B24" s="22" t="s">
        <v>44</v>
      </c>
      <c r="C24" s="22" t="s">
        <v>45</v>
      </c>
      <c r="D24" s="22" t="s">
        <v>46</v>
      </c>
      <c r="E24" s="22" t="s">
        <v>551</v>
      </c>
    </row>
    <row r="25" spans="1:5" ht="12.75">
      <c r="A25" s="19" t="s">
        <v>358</v>
      </c>
      <c r="B25" s="4" t="s">
        <v>96</v>
      </c>
      <c r="C25" s="4" t="s">
        <v>574</v>
      </c>
      <c r="D25" s="4" t="s">
        <v>575</v>
      </c>
      <c r="E25" s="42" t="s">
        <v>645</v>
      </c>
    </row>
    <row r="26" spans="1:5" ht="12.75">
      <c r="A26" s="4" t="s">
        <v>115</v>
      </c>
      <c r="B26" s="4" t="s">
        <v>96</v>
      </c>
      <c r="C26" s="4" t="s">
        <v>120</v>
      </c>
      <c r="D26" s="4" t="s">
        <v>577</v>
      </c>
      <c r="E26" s="43" t="s">
        <v>644</v>
      </c>
    </row>
    <row r="27" ht="12.75">
      <c r="E27" s="43"/>
    </row>
    <row r="28" ht="12.75">
      <c r="E28" s="43"/>
    </row>
  </sheetData>
  <sheetProtection/>
  <mergeCells count="23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J8:J9"/>
    <mergeCell ref="K8:K9"/>
    <mergeCell ref="A10:J10"/>
    <mergeCell ref="K3:K4"/>
    <mergeCell ref="A5:J5"/>
    <mergeCell ref="A8:A9"/>
    <mergeCell ref="B8:B9"/>
    <mergeCell ref="C8:C9"/>
    <mergeCell ref="D8:D9"/>
    <mergeCell ref="E8:E9"/>
    <mergeCell ref="F8:F9"/>
    <mergeCell ref="G8:H8"/>
    <mergeCell ref="I8:I9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26.00390625" style="4" bestFit="1" customWidth="1"/>
    <col min="2" max="2" width="29.00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1.875" style="4" bestFit="1" customWidth="1"/>
    <col min="7" max="9" width="5.625" style="3" bestFit="1" customWidth="1"/>
    <col min="10" max="10" width="4.875" style="3" bestFit="1" customWidth="1"/>
    <col min="11" max="11" width="11.25390625" style="4" bestFit="1" customWidth="1"/>
    <col min="12" max="12" width="7.625" style="3" bestFit="1" customWidth="1"/>
    <col min="13" max="13" width="14.25390625" style="4" bestFit="1" customWidth="1"/>
    <col min="14" max="16384" width="9.125" style="3" customWidth="1"/>
  </cols>
  <sheetData>
    <row r="1" spans="1:13" s="2" customFormat="1" ht="28.5" customHeight="1">
      <c r="A1" s="50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2" customFormat="1" ht="61.5" customHeight="1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0</v>
      </c>
      <c r="B3" s="58" t="s">
        <v>7</v>
      </c>
      <c r="C3" s="58" t="s">
        <v>8</v>
      </c>
      <c r="D3" s="60" t="s">
        <v>11</v>
      </c>
      <c r="E3" s="60" t="s">
        <v>5</v>
      </c>
      <c r="F3" s="60" t="s">
        <v>9</v>
      </c>
      <c r="G3" s="60" t="s">
        <v>1</v>
      </c>
      <c r="H3" s="60"/>
      <c r="I3" s="60"/>
      <c r="J3" s="60"/>
      <c r="K3" s="60" t="s">
        <v>59</v>
      </c>
      <c r="L3" s="60" t="s">
        <v>4</v>
      </c>
      <c r="M3" s="44" t="s">
        <v>3</v>
      </c>
    </row>
    <row r="4" spans="1:13" s="1" customFormat="1" ht="32.25" customHeight="1" thickBot="1">
      <c r="A4" s="57"/>
      <c r="B4" s="59"/>
      <c r="C4" s="59"/>
      <c r="D4" s="59"/>
      <c r="E4" s="59"/>
      <c r="F4" s="59"/>
      <c r="G4" s="5">
        <v>1</v>
      </c>
      <c r="H4" s="5">
        <v>2</v>
      </c>
      <c r="I4" s="5">
        <v>3</v>
      </c>
      <c r="J4" s="5" t="s">
        <v>6</v>
      </c>
      <c r="K4" s="59"/>
      <c r="L4" s="59"/>
      <c r="M4" s="45"/>
    </row>
    <row r="5" spans="1:12" ht="15">
      <c r="A5" s="46" t="s">
        <v>12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3" ht="12.75">
      <c r="A6" s="7" t="s">
        <v>14</v>
      </c>
      <c r="B6" s="7" t="s">
        <v>15</v>
      </c>
      <c r="C6" s="7" t="s">
        <v>16</v>
      </c>
      <c r="D6" s="7" t="str">
        <f>"0,9201"</f>
        <v>0,9201</v>
      </c>
      <c r="E6" s="7" t="s">
        <v>17</v>
      </c>
      <c r="F6" s="7" t="s">
        <v>18</v>
      </c>
      <c r="G6" s="9" t="s">
        <v>19</v>
      </c>
      <c r="H6" s="8" t="s">
        <v>20</v>
      </c>
      <c r="I6" s="8" t="s">
        <v>20</v>
      </c>
      <c r="J6" s="8"/>
      <c r="K6" s="7" t="str">
        <f>"60,0"</f>
        <v>60,0</v>
      </c>
      <c r="L6" s="9" t="str">
        <f>"62,3828"</f>
        <v>62,3828</v>
      </c>
      <c r="M6" s="7" t="s">
        <v>619</v>
      </c>
    </row>
    <row r="8" spans="1:12" ht="15">
      <c r="A8" s="48" t="s">
        <v>22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3" ht="12.75">
      <c r="A9" s="10" t="s">
        <v>24</v>
      </c>
      <c r="B9" s="10" t="s">
        <v>25</v>
      </c>
      <c r="C9" s="10" t="s">
        <v>26</v>
      </c>
      <c r="D9" s="10" t="str">
        <f>"0,6329"</f>
        <v>0,6329</v>
      </c>
      <c r="E9" s="10" t="s">
        <v>17</v>
      </c>
      <c r="F9" s="10" t="s">
        <v>18</v>
      </c>
      <c r="G9" s="11" t="s">
        <v>27</v>
      </c>
      <c r="H9" s="12" t="s">
        <v>27</v>
      </c>
      <c r="I9" s="11" t="s">
        <v>28</v>
      </c>
      <c r="J9" s="11"/>
      <c r="K9" s="10" t="str">
        <f>"110,0"</f>
        <v>110,0</v>
      </c>
      <c r="L9" s="12" t="str">
        <f>"71,7076"</f>
        <v>71,7076</v>
      </c>
      <c r="M9" s="10" t="s">
        <v>619</v>
      </c>
    </row>
    <row r="10" spans="1:13" ht="12.75">
      <c r="A10" s="13" t="s">
        <v>30</v>
      </c>
      <c r="B10" s="13" t="s">
        <v>31</v>
      </c>
      <c r="C10" s="13" t="s">
        <v>32</v>
      </c>
      <c r="D10" s="13" t="str">
        <f>"0,6295"</f>
        <v>0,6295</v>
      </c>
      <c r="E10" s="13" t="s">
        <v>17</v>
      </c>
      <c r="F10" s="13" t="s">
        <v>18</v>
      </c>
      <c r="G10" s="15" t="s">
        <v>33</v>
      </c>
      <c r="H10" s="14" t="s">
        <v>34</v>
      </c>
      <c r="I10" s="14"/>
      <c r="J10" s="14"/>
      <c r="K10" s="13" t="str">
        <f>"100,0"</f>
        <v>100,0</v>
      </c>
      <c r="L10" s="15" t="str">
        <f>"93,1660"</f>
        <v>93,1660</v>
      </c>
      <c r="M10" s="13" t="s">
        <v>619</v>
      </c>
    </row>
    <row r="12" spans="5:6" ht="15">
      <c r="E12" s="16" t="s">
        <v>35</v>
      </c>
      <c r="F12" s="4" t="s">
        <v>474</v>
      </c>
    </row>
    <row r="13" spans="5:6" ht="15">
      <c r="E13" s="16" t="s">
        <v>36</v>
      </c>
      <c r="F13" s="4" t="s">
        <v>475</v>
      </c>
    </row>
    <row r="14" spans="5:6" ht="15">
      <c r="E14" s="16" t="s">
        <v>37</v>
      </c>
      <c r="F14" s="4" t="s">
        <v>476</v>
      </c>
    </row>
    <row r="15" spans="5:6" ht="15">
      <c r="E15" s="16" t="s">
        <v>38</v>
      </c>
      <c r="F15" s="4" t="s">
        <v>477</v>
      </c>
    </row>
    <row r="16" spans="5:6" ht="15">
      <c r="E16" s="16" t="s">
        <v>38</v>
      </c>
      <c r="F16" s="4" t="s">
        <v>478</v>
      </c>
    </row>
    <row r="17" spans="5:6" ht="15">
      <c r="E17" s="16" t="s">
        <v>39</v>
      </c>
      <c r="F17" s="4" t="s">
        <v>479</v>
      </c>
    </row>
    <row r="18" ht="15">
      <c r="E18" s="16"/>
    </row>
    <row r="20" spans="1:2" ht="18">
      <c r="A20" s="17" t="s">
        <v>40</v>
      </c>
      <c r="B20" s="17"/>
    </row>
    <row r="21" spans="1:2" ht="15">
      <c r="A21" s="18" t="s">
        <v>41</v>
      </c>
      <c r="B21" s="18"/>
    </row>
    <row r="22" spans="1:2" ht="14.25">
      <c r="A22" s="20"/>
      <c r="B22" s="21" t="s">
        <v>42</v>
      </c>
    </row>
    <row r="23" spans="1:5" ht="15">
      <c r="A23" s="22" t="s">
        <v>43</v>
      </c>
      <c r="B23" s="22" t="s">
        <v>44</v>
      </c>
      <c r="C23" s="22" t="s">
        <v>45</v>
      </c>
      <c r="D23" s="22" t="s">
        <v>46</v>
      </c>
      <c r="E23" s="22" t="s">
        <v>47</v>
      </c>
    </row>
    <row r="24" spans="1:5" ht="12.75">
      <c r="A24" s="19" t="s">
        <v>13</v>
      </c>
      <c r="B24" s="4" t="s">
        <v>48</v>
      </c>
      <c r="C24" s="4" t="s">
        <v>49</v>
      </c>
      <c r="D24" s="4" t="s">
        <v>19</v>
      </c>
      <c r="E24" s="23" t="s">
        <v>50</v>
      </c>
    </row>
    <row r="27" spans="1:2" ht="15">
      <c r="A27" s="18" t="s">
        <v>51</v>
      </c>
      <c r="B27" s="18"/>
    </row>
    <row r="28" spans="1:2" ht="14.25">
      <c r="A28" s="20"/>
      <c r="B28" s="21" t="s">
        <v>52</v>
      </c>
    </row>
    <row r="29" spans="1:5" ht="15">
      <c r="A29" s="22" t="s">
        <v>43</v>
      </c>
      <c r="B29" s="22" t="s">
        <v>44</v>
      </c>
      <c r="C29" s="22" t="s">
        <v>45</v>
      </c>
      <c r="D29" s="22" t="s">
        <v>46</v>
      </c>
      <c r="E29" s="22" t="s">
        <v>47</v>
      </c>
    </row>
    <row r="30" spans="1:5" ht="12.75">
      <c r="A30" s="19" t="s">
        <v>23</v>
      </c>
      <c r="B30" s="4" t="s">
        <v>53</v>
      </c>
      <c r="C30" s="4" t="s">
        <v>54</v>
      </c>
      <c r="D30" s="4" t="s">
        <v>27</v>
      </c>
      <c r="E30" s="23" t="s">
        <v>55</v>
      </c>
    </row>
    <row r="32" spans="1:2" ht="14.25">
      <c r="A32" s="20"/>
      <c r="B32" s="21" t="s">
        <v>56</v>
      </c>
    </row>
    <row r="33" spans="1:5" ht="15">
      <c r="A33" s="22" t="s">
        <v>43</v>
      </c>
      <c r="B33" s="22" t="s">
        <v>44</v>
      </c>
      <c r="C33" s="22" t="s">
        <v>45</v>
      </c>
      <c r="D33" s="22" t="s">
        <v>46</v>
      </c>
      <c r="E33" s="22" t="s">
        <v>47</v>
      </c>
    </row>
    <row r="34" spans="1:5" ht="12.75">
      <c r="A34" s="19" t="s">
        <v>29</v>
      </c>
      <c r="B34" s="4" t="s">
        <v>57</v>
      </c>
      <c r="C34" s="4" t="s">
        <v>54</v>
      </c>
      <c r="D34" s="4" t="s">
        <v>33</v>
      </c>
      <c r="E34" s="23" t="s">
        <v>58</v>
      </c>
    </row>
  </sheetData>
  <sheetProtection/>
  <mergeCells count="13">
    <mergeCell ref="A1:M2"/>
    <mergeCell ref="G3:J3"/>
    <mergeCell ref="A3:A4"/>
    <mergeCell ref="B3:B4"/>
    <mergeCell ref="C3:C4"/>
    <mergeCell ref="M3:M4"/>
    <mergeCell ref="F3:F4"/>
    <mergeCell ref="E3:E4"/>
    <mergeCell ref="A5:L5"/>
    <mergeCell ref="A8:L8"/>
    <mergeCell ref="D3:D4"/>
    <mergeCell ref="K3:K4"/>
    <mergeCell ref="L3:L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K17" sqref="K17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0.8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6.375" style="4" bestFit="1" customWidth="1"/>
    <col min="14" max="16384" width="9.125" style="3" customWidth="1"/>
  </cols>
  <sheetData>
    <row r="1" spans="1:13" s="2" customFormat="1" ht="28.5" customHeight="1">
      <c r="A1" s="50" t="s">
        <v>60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2" customFormat="1" ht="61.5" customHeight="1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0</v>
      </c>
      <c r="B3" s="58" t="s">
        <v>7</v>
      </c>
      <c r="C3" s="58" t="s">
        <v>8</v>
      </c>
      <c r="D3" s="60" t="s">
        <v>11</v>
      </c>
      <c r="E3" s="60" t="s">
        <v>5</v>
      </c>
      <c r="F3" s="60" t="s">
        <v>9</v>
      </c>
      <c r="G3" s="60" t="s">
        <v>1</v>
      </c>
      <c r="H3" s="60"/>
      <c r="I3" s="60"/>
      <c r="J3" s="60"/>
      <c r="K3" s="60" t="s">
        <v>59</v>
      </c>
      <c r="L3" s="60" t="s">
        <v>4</v>
      </c>
      <c r="M3" s="44" t="s">
        <v>3</v>
      </c>
    </row>
    <row r="4" spans="1:13" s="1" customFormat="1" ht="21" customHeight="1" thickBot="1">
      <c r="A4" s="57"/>
      <c r="B4" s="59"/>
      <c r="C4" s="59"/>
      <c r="D4" s="59"/>
      <c r="E4" s="59"/>
      <c r="F4" s="59"/>
      <c r="G4" s="5">
        <v>1</v>
      </c>
      <c r="H4" s="5">
        <v>2</v>
      </c>
      <c r="I4" s="5">
        <v>3</v>
      </c>
      <c r="J4" s="5" t="s">
        <v>6</v>
      </c>
      <c r="K4" s="59"/>
      <c r="L4" s="59"/>
      <c r="M4" s="45"/>
    </row>
    <row r="5" spans="1:12" ht="15">
      <c r="A5" s="46" t="s">
        <v>61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3" ht="12.75">
      <c r="A6" s="7" t="s">
        <v>63</v>
      </c>
      <c r="B6" s="7" t="s">
        <v>64</v>
      </c>
      <c r="C6" s="7" t="s">
        <v>65</v>
      </c>
      <c r="D6" s="7" t="str">
        <f>"0,7297"</f>
        <v>0,7297</v>
      </c>
      <c r="E6" s="7" t="s">
        <v>17</v>
      </c>
      <c r="F6" s="7" t="s">
        <v>66</v>
      </c>
      <c r="G6" s="9" t="s">
        <v>67</v>
      </c>
      <c r="H6" s="9" t="s">
        <v>68</v>
      </c>
      <c r="I6" s="9" t="s">
        <v>69</v>
      </c>
      <c r="J6" s="8"/>
      <c r="K6" s="7" t="str">
        <f>"135,0"</f>
        <v>135,0</v>
      </c>
      <c r="L6" s="9" t="str">
        <f>"98,5095"</f>
        <v>98,5095</v>
      </c>
      <c r="M6" s="7" t="s">
        <v>586</v>
      </c>
    </row>
    <row r="8" spans="1:12" ht="15">
      <c r="A8" s="48" t="s">
        <v>70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3" ht="12.75">
      <c r="A9" s="7" t="s">
        <v>72</v>
      </c>
      <c r="B9" s="7" t="s">
        <v>73</v>
      </c>
      <c r="C9" s="7" t="s">
        <v>74</v>
      </c>
      <c r="D9" s="7" t="str">
        <f>"0,6645"</f>
        <v>0,6645</v>
      </c>
      <c r="E9" s="7" t="s">
        <v>75</v>
      </c>
      <c r="F9" s="7" t="s">
        <v>76</v>
      </c>
      <c r="G9" s="9" t="s">
        <v>77</v>
      </c>
      <c r="H9" s="8"/>
      <c r="I9" s="8"/>
      <c r="J9" s="8"/>
      <c r="K9" s="7" t="str">
        <f>"150,0"</f>
        <v>150,0</v>
      </c>
      <c r="L9" s="9" t="str">
        <f>"99,6750"</f>
        <v>99,6750</v>
      </c>
      <c r="M9" s="7" t="s">
        <v>618</v>
      </c>
    </row>
    <row r="11" spans="1:12" ht="15">
      <c r="A11" s="48" t="s">
        <v>78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pans="1:13" ht="12.75">
      <c r="A12" s="10" t="s">
        <v>80</v>
      </c>
      <c r="B12" s="10" t="s">
        <v>81</v>
      </c>
      <c r="C12" s="10" t="s">
        <v>82</v>
      </c>
      <c r="D12" s="10" t="str">
        <f>"0,5804"</f>
        <v>0,5804</v>
      </c>
      <c r="E12" s="10" t="s">
        <v>17</v>
      </c>
      <c r="F12" s="10" t="s">
        <v>83</v>
      </c>
      <c r="G12" s="12" t="s">
        <v>77</v>
      </c>
      <c r="H12" s="12" t="s">
        <v>84</v>
      </c>
      <c r="I12" s="11" t="s">
        <v>85</v>
      </c>
      <c r="J12" s="11"/>
      <c r="K12" s="10" t="str">
        <f>"160,0"</f>
        <v>160,0</v>
      </c>
      <c r="L12" s="12" t="str">
        <f>"92,8640"</f>
        <v>92,8640</v>
      </c>
      <c r="M12" s="10" t="s">
        <v>586</v>
      </c>
    </row>
    <row r="13" spans="1:13" ht="12.75">
      <c r="A13" s="13" t="s">
        <v>80</v>
      </c>
      <c r="B13" s="13" t="s">
        <v>86</v>
      </c>
      <c r="C13" s="13" t="s">
        <v>82</v>
      </c>
      <c r="D13" s="13" t="str">
        <f>"0,5804"</f>
        <v>0,5804</v>
      </c>
      <c r="E13" s="13" t="s">
        <v>17</v>
      </c>
      <c r="F13" s="13" t="s">
        <v>83</v>
      </c>
      <c r="G13" s="15" t="s">
        <v>77</v>
      </c>
      <c r="H13" s="15" t="s">
        <v>84</v>
      </c>
      <c r="I13" s="14" t="s">
        <v>85</v>
      </c>
      <c r="J13" s="14"/>
      <c r="K13" s="13" t="str">
        <f>"160,0"</f>
        <v>160,0</v>
      </c>
      <c r="L13" s="15" t="str">
        <f>"103,7291"</f>
        <v>103,7291</v>
      </c>
      <c r="M13" s="13" t="s">
        <v>586</v>
      </c>
    </row>
    <row r="15" spans="1:12" ht="15">
      <c r="A15" s="48" t="s">
        <v>87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</row>
    <row r="16" spans="1:13" ht="12.75">
      <c r="A16" s="7" t="s">
        <v>89</v>
      </c>
      <c r="B16" s="7" t="s">
        <v>90</v>
      </c>
      <c r="C16" s="7" t="s">
        <v>91</v>
      </c>
      <c r="D16" s="7" t="str">
        <f>"0,5328"</f>
        <v>0,5328</v>
      </c>
      <c r="E16" s="7" t="s">
        <v>17</v>
      </c>
      <c r="F16" s="7" t="s">
        <v>92</v>
      </c>
      <c r="G16" s="9" t="s">
        <v>93</v>
      </c>
      <c r="H16" s="9" t="s">
        <v>94</v>
      </c>
      <c r="I16" s="9" t="s">
        <v>95</v>
      </c>
      <c r="J16" s="8"/>
      <c r="K16" s="7" t="str">
        <f>"195,0"</f>
        <v>195,0</v>
      </c>
      <c r="L16" s="9" t="str">
        <f>"103,8960"</f>
        <v>103,8960</v>
      </c>
      <c r="M16" s="7" t="s">
        <v>586</v>
      </c>
    </row>
    <row r="18" spans="5:6" ht="15">
      <c r="E18" s="16" t="s">
        <v>35</v>
      </c>
      <c r="F18" s="4" t="s">
        <v>474</v>
      </c>
    </row>
    <row r="19" spans="5:6" ht="15">
      <c r="E19" s="16" t="s">
        <v>36</v>
      </c>
      <c r="F19" s="4" t="s">
        <v>475</v>
      </c>
    </row>
    <row r="20" spans="5:6" ht="15">
      <c r="E20" s="16" t="s">
        <v>37</v>
      </c>
      <c r="F20" s="4" t="s">
        <v>476</v>
      </c>
    </row>
    <row r="21" spans="5:6" ht="15">
      <c r="E21" s="16" t="s">
        <v>38</v>
      </c>
      <c r="F21" s="4" t="s">
        <v>477</v>
      </c>
    </row>
    <row r="22" spans="5:6" ht="15">
      <c r="E22" s="16" t="s">
        <v>38</v>
      </c>
      <c r="F22" s="4" t="s">
        <v>478</v>
      </c>
    </row>
    <row r="23" spans="5:6" ht="15">
      <c r="E23" s="16" t="s">
        <v>39</v>
      </c>
      <c r="F23" s="4" t="s">
        <v>479</v>
      </c>
    </row>
    <row r="24" ht="15">
      <c r="E24" s="16"/>
    </row>
    <row r="26" spans="1:2" ht="18">
      <c r="A26" s="17" t="s">
        <v>40</v>
      </c>
      <c r="B26" s="17"/>
    </row>
    <row r="27" spans="1:2" ht="15">
      <c r="A27" s="18" t="s">
        <v>51</v>
      </c>
      <c r="B27" s="18"/>
    </row>
    <row r="28" spans="1:2" ht="14.25">
      <c r="A28" s="20"/>
      <c r="B28" s="21" t="s">
        <v>96</v>
      </c>
    </row>
    <row r="29" spans="1:5" ht="15">
      <c r="A29" s="22" t="s">
        <v>43</v>
      </c>
      <c r="B29" s="22" t="s">
        <v>44</v>
      </c>
      <c r="C29" s="22" t="s">
        <v>45</v>
      </c>
      <c r="D29" s="22" t="s">
        <v>46</v>
      </c>
      <c r="E29" s="22" t="s">
        <v>47</v>
      </c>
    </row>
    <row r="30" spans="1:5" ht="12.75">
      <c r="A30" s="19" t="s">
        <v>71</v>
      </c>
      <c r="B30" s="4" t="s">
        <v>96</v>
      </c>
      <c r="C30" s="4" t="s">
        <v>97</v>
      </c>
      <c r="D30" s="4" t="s">
        <v>77</v>
      </c>
      <c r="E30" s="23" t="s">
        <v>98</v>
      </c>
    </row>
    <row r="31" spans="1:5" ht="12.75">
      <c r="A31" s="19" t="s">
        <v>62</v>
      </c>
      <c r="B31" s="4" t="s">
        <v>96</v>
      </c>
      <c r="C31" s="4" t="s">
        <v>20</v>
      </c>
      <c r="D31" s="4" t="s">
        <v>69</v>
      </c>
      <c r="E31" s="23" t="s">
        <v>99</v>
      </c>
    </row>
    <row r="32" spans="1:5" ht="12.75">
      <c r="A32" s="19" t="s">
        <v>79</v>
      </c>
      <c r="B32" s="4" t="s">
        <v>96</v>
      </c>
      <c r="C32" s="4" t="s">
        <v>33</v>
      </c>
      <c r="D32" s="4" t="s">
        <v>84</v>
      </c>
      <c r="E32" s="23" t="s">
        <v>100</v>
      </c>
    </row>
    <row r="34" spans="1:2" ht="14.25">
      <c r="A34" s="20"/>
      <c r="B34" s="21" t="s">
        <v>56</v>
      </c>
    </row>
    <row r="35" spans="1:5" ht="15">
      <c r="A35" s="22" t="s">
        <v>43</v>
      </c>
      <c r="B35" s="22" t="s">
        <v>44</v>
      </c>
      <c r="C35" s="22" t="s">
        <v>45</v>
      </c>
      <c r="D35" s="22" t="s">
        <v>46</v>
      </c>
      <c r="E35" s="22" t="s">
        <v>47</v>
      </c>
    </row>
    <row r="36" spans="1:5" ht="12.75">
      <c r="A36" s="19" t="s">
        <v>88</v>
      </c>
      <c r="B36" s="4" t="s">
        <v>101</v>
      </c>
      <c r="C36" s="4" t="s">
        <v>67</v>
      </c>
      <c r="D36" s="4" t="s">
        <v>95</v>
      </c>
      <c r="E36" s="23" t="s">
        <v>102</v>
      </c>
    </row>
    <row r="37" spans="1:5" ht="12.75">
      <c r="A37" s="19" t="s">
        <v>79</v>
      </c>
      <c r="B37" s="4" t="s">
        <v>103</v>
      </c>
      <c r="C37" s="4" t="s">
        <v>33</v>
      </c>
      <c r="D37" s="4" t="s">
        <v>84</v>
      </c>
      <c r="E37" s="23" t="s">
        <v>104</v>
      </c>
    </row>
  </sheetData>
  <sheetProtection/>
  <mergeCells count="15">
    <mergeCell ref="A1:M2"/>
    <mergeCell ref="A3:A4"/>
    <mergeCell ref="B3:B4"/>
    <mergeCell ref="C3:C4"/>
    <mergeCell ref="D3:D4"/>
    <mergeCell ref="E3:E4"/>
    <mergeCell ref="F3:F4"/>
    <mergeCell ref="G3:J3"/>
    <mergeCell ref="A15:L15"/>
    <mergeCell ref="K3:K4"/>
    <mergeCell ref="L3:L4"/>
    <mergeCell ref="M3:M4"/>
    <mergeCell ref="A5:L5"/>
    <mergeCell ref="A8:L8"/>
    <mergeCell ref="A11:L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26.00390625" style="4" bestFit="1" customWidth="1"/>
    <col min="2" max="2" width="28.375" style="4" bestFit="1" customWidth="1"/>
    <col min="3" max="4" width="10.625" style="4" bestFit="1" customWidth="1"/>
    <col min="5" max="5" width="22.75390625" style="4" bestFit="1" customWidth="1"/>
    <col min="6" max="6" width="21.875" style="4" bestFit="1" customWidth="1"/>
    <col min="7" max="7" width="5.00390625" style="3" bestFit="1" customWidth="1"/>
    <col min="8" max="8" width="10.375" style="31" bestFit="1" customWidth="1"/>
    <col min="9" max="9" width="7.875" style="4" bestFit="1" customWidth="1"/>
    <col min="10" max="10" width="7.625" style="3" bestFit="1" customWidth="1"/>
    <col min="11" max="11" width="15.875" style="4" bestFit="1" customWidth="1"/>
    <col min="12" max="16384" width="9.125" style="3" customWidth="1"/>
  </cols>
  <sheetData>
    <row r="1" spans="1:11" s="2" customFormat="1" ht="28.5" customHeight="1">
      <c r="A1" s="50" t="s">
        <v>568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s="2" customFormat="1" ht="67.5" customHeight="1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5"/>
    </row>
    <row r="3" spans="1:11" s="1" customFormat="1" ht="15">
      <c r="A3" s="56" t="s">
        <v>0</v>
      </c>
      <c r="B3" s="58" t="s">
        <v>7</v>
      </c>
      <c r="C3" s="58" t="s">
        <v>8</v>
      </c>
      <c r="D3" s="60" t="s">
        <v>508</v>
      </c>
      <c r="E3" s="60" t="s">
        <v>5</v>
      </c>
      <c r="F3" s="60" t="s">
        <v>9</v>
      </c>
      <c r="G3" s="60" t="s">
        <v>570</v>
      </c>
      <c r="H3" s="60"/>
      <c r="I3" s="60" t="s">
        <v>510</v>
      </c>
      <c r="J3" s="60" t="s">
        <v>4</v>
      </c>
      <c r="K3" s="44" t="s">
        <v>3</v>
      </c>
    </row>
    <row r="4" spans="1:11" s="1" customFormat="1" ht="15.75" thickBot="1">
      <c r="A4" s="57"/>
      <c r="B4" s="59"/>
      <c r="C4" s="59"/>
      <c r="D4" s="59"/>
      <c r="E4" s="59"/>
      <c r="F4" s="59"/>
      <c r="G4" s="29" t="s">
        <v>511</v>
      </c>
      <c r="H4" s="30" t="s">
        <v>512</v>
      </c>
      <c r="I4" s="59"/>
      <c r="J4" s="59"/>
      <c r="K4" s="45"/>
    </row>
    <row r="5" spans="1:10" ht="15">
      <c r="A5" s="46" t="s">
        <v>513</v>
      </c>
      <c r="B5" s="47"/>
      <c r="C5" s="47"/>
      <c r="D5" s="47"/>
      <c r="E5" s="47"/>
      <c r="F5" s="47"/>
      <c r="G5" s="47"/>
      <c r="H5" s="47"/>
      <c r="I5" s="47"/>
      <c r="J5" s="47"/>
    </row>
    <row r="6" spans="1:11" ht="12.75">
      <c r="A6" s="7" t="s">
        <v>397</v>
      </c>
      <c r="B6" s="7" t="s">
        <v>399</v>
      </c>
      <c r="C6" s="7" t="s">
        <v>26</v>
      </c>
      <c r="D6" s="7" t="str">
        <f>"1,0000"</f>
        <v>1,0000</v>
      </c>
      <c r="E6" s="7" t="s">
        <v>569</v>
      </c>
      <c r="F6" s="7" t="s">
        <v>580</v>
      </c>
      <c r="G6" s="9" t="s">
        <v>494</v>
      </c>
      <c r="H6" s="32">
        <v>45</v>
      </c>
      <c r="I6" s="7" t="s">
        <v>571</v>
      </c>
      <c r="J6" s="35"/>
      <c r="K6" s="7" t="s">
        <v>579</v>
      </c>
    </row>
    <row r="8" spans="5:6" ht="15">
      <c r="E8" s="16" t="s">
        <v>35</v>
      </c>
      <c r="F8" s="4" t="s">
        <v>474</v>
      </c>
    </row>
    <row r="9" spans="5:6" ht="15">
      <c r="E9" s="16" t="s">
        <v>36</v>
      </c>
      <c r="F9" s="4" t="s">
        <v>475</v>
      </c>
    </row>
    <row r="10" spans="5:6" ht="15">
      <c r="E10" s="16" t="s">
        <v>37</v>
      </c>
      <c r="F10" s="4" t="s">
        <v>476</v>
      </c>
    </row>
    <row r="11" spans="5:6" ht="15">
      <c r="E11" s="16" t="s">
        <v>38</v>
      </c>
      <c r="F11" s="4" t="s">
        <v>477</v>
      </c>
    </row>
    <row r="12" spans="5:6" ht="15">
      <c r="E12" s="16" t="s">
        <v>38</v>
      </c>
      <c r="F12" s="4" t="s">
        <v>478</v>
      </c>
    </row>
    <row r="13" spans="5:6" ht="15">
      <c r="E13" s="16" t="s">
        <v>39</v>
      </c>
      <c r="F13" s="4" t="s">
        <v>479</v>
      </c>
    </row>
    <row r="14" ht="15">
      <c r="E14" s="16"/>
    </row>
    <row r="16" spans="1:2" ht="18">
      <c r="A16" s="17" t="s">
        <v>40</v>
      </c>
      <c r="B16" s="17"/>
    </row>
    <row r="17" spans="1:2" ht="15">
      <c r="A17" s="18" t="s">
        <v>51</v>
      </c>
      <c r="B17" s="18"/>
    </row>
    <row r="18" spans="1:2" ht="14.25">
      <c r="A18" s="20"/>
      <c r="B18" s="21" t="s">
        <v>52</v>
      </c>
    </row>
    <row r="19" spans="1:5" ht="15">
      <c r="A19" s="22" t="s">
        <v>43</v>
      </c>
      <c r="B19" s="22" t="s">
        <v>44</v>
      </c>
      <c r="C19" s="22" t="s">
        <v>45</v>
      </c>
      <c r="D19" s="22" t="s">
        <v>46</v>
      </c>
      <c r="E19" s="22" t="s">
        <v>521</v>
      </c>
    </row>
    <row r="20" spans="1:5" ht="12.75">
      <c r="A20" s="19" t="s">
        <v>397</v>
      </c>
      <c r="B20" s="4" t="s">
        <v>491</v>
      </c>
      <c r="C20" s="4" t="s">
        <v>524</v>
      </c>
      <c r="D20" s="4" t="s">
        <v>571</v>
      </c>
      <c r="E20" s="36"/>
    </row>
  </sheetData>
  <sheetProtection/>
  <mergeCells count="12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10.75390625" style="4" bestFit="1" customWidth="1"/>
    <col min="5" max="5" width="22.75390625" style="4" bestFit="1" customWidth="1"/>
    <col min="6" max="6" width="24.125" style="4" bestFit="1" customWidth="1"/>
    <col min="7" max="7" width="4.625" style="3" bestFit="1" customWidth="1"/>
    <col min="8" max="8" width="10.375" style="31" bestFit="1" customWidth="1"/>
    <col min="9" max="9" width="7.875" style="4" bestFit="1" customWidth="1"/>
    <col min="10" max="10" width="9.625" style="3" bestFit="1" customWidth="1"/>
    <col min="11" max="11" width="15.875" style="4" bestFit="1" customWidth="1"/>
    <col min="12" max="16384" width="9.125" style="3" customWidth="1"/>
  </cols>
  <sheetData>
    <row r="1" spans="1:11" s="2" customFormat="1" ht="28.5" customHeight="1">
      <c r="A1" s="50" t="s">
        <v>558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s="2" customFormat="1" ht="90" customHeight="1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5"/>
    </row>
    <row r="3" spans="1:11" s="1" customFormat="1" ht="15">
      <c r="A3" s="56" t="s">
        <v>0</v>
      </c>
      <c r="B3" s="58" t="s">
        <v>7</v>
      </c>
      <c r="C3" s="58" t="s">
        <v>8</v>
      </c>
      <c r="D3" s="60" t="s">
        <v>549</v>
      </c>
      <c r="E3" s="60" t="s">
        <v>5</v>
      </c>
      <c r="F3" s="60" t="s">
        <v>9</v>
      </c>
      <c r="G3" s="60" t="s">
        <v>509</v>
      </c>
      <c r="H3" s="60"/>
      <c r="I3" s="60" t="s">
        <v>510</v>
      </c>
      <c r="J3" s="60" t="s">
        <v>4</v>
      </c>
      <c r="K3" s="44" t="s">
        <v>3</v>
      </c>
    </row>
    <row r="4" spans="1:11" s="1" customFormat="1" ht="15.75" thickBot="1">
      <c r="A4" s="57"/>
      <c r="B4" s="59"/>
      <c r="C4" s="59"/>
      <c r="D4" s="59"/>
      <c r="E4" s="59"/>
      <c r="F4" s="59"/>
      <c r="G4" s="29" t="s">
        <v>511</v>
      </c>
      <c r="H4" s="30" t="s">
        <v>512</v>
      </c>
      <c r="I4" s="59"/>
      <c r="J4" s="59"/>
      <c r="K4" s="45"/>
    </row>
    <row r="5" spans="1:10" ht="15">
      <c r="A5" s="46" t="s">
        <v>70</v>
      </c>
      <c r="B5" s="47"/>
      <c r="C5" s="47"/>
      <c r="D5" s="47"/>
      <c r="E5" s="47"/>
      <c r="F5" s="47"/>
      <c r="G5" s="47"/>
      <c r="H5" s="47"/>
      <c r="I5" s="47"/>
      <c r="J5" s="47"/>
    </row>
    <row r="6" spans="1:11" ht="12.75">
      <c r="A6" s="7" t="s">
        <v>559</v>
      </c>
      <c r="B6" s="7" t="s">
        <v>560</v>
      </c>
      <c r="C6" s="7" t="s">
        <v>561</v>
      </c>
      <c r="D6" s="7" t="str">
        <f>"0,8337"</f>
        <v>0,8337</v>
      </c>
      <c r="E6" s="7" t="s">
        <v>141</v>
      </c>
      <c r="F6" s="7" t="s">
        <v>142</v>
      </c>
      <c r="G6" s="9" t="s">
        <v>562</v>
      </c>
      <c r="H6" s="32" t="s">
        <v>563</v>
      </c>
      <c r="I6" s="7" t="str">
        <f>"1885,0"</f>
        <v>1885,0</v>
      </c>
      <c r="J6" s="9" t="str">
        <f>"1571,5245"</f>
        <v>1571,5245</v>
      </c>
      <c r="K6" s="7" t="s">
        <v>581</v>
      </c>
    </row>
    <row r="8" spans="5:6" ht="15">
      <c r="E8" s="16" t="s">
        <v>35</v>
      </c>
      <c r="F8" s="4" t="s">
        <v>474</v>
      </c>
    </row>
    <row r="9" spans="5:6" ht="15">
      <c r="E9" s="16" t="s">
        <v>36</v>
      </c>
      <c r="F9" s="4" t="s">
        <v>475</v>
      </c>
    </row>
    <row r="10" spans="5:6" ht="15">
      <c r="E10" s="16" t="s">
        <v>37</v>
      </c>
      <c r="F10" s="4" t="s">
        <v>476</v>
      </c>
    </row>
    <row r="11" spans="5:6" ht="15">
      <c r="E11" s="16" t="s">
        <v>38</v>
      </c>
      <c r="F11" s="4" t="s">
        <v>477</v>
      </c>
    </row>
    <row r="12" spans="5:6" ht="15">
      <c r="E12" s="16" t="s">
        <v>38</v>
      </c>
      <c r="F12" s="4" t="s">
        <v>478</v>
      </c>
    </row>
    <row r="13" spans="5:6" ht="15">
      <c r="E13" s="16" t="s">
        <v>39</v>
      </c>
      <c r="F13" s="4" t="s">
        <v>479</v>
      </c>
    </row>
    <row r="14" ht="15">
      <c r="E14" s="16"/>
    </row>
    <row r="16" spans="1:2" ht="18">
      <c r="A16" s="17" t="s">
        <v>40</v>
      </c>
      <c r="B16" s="17"/>
    </row>
    <row r="17" spans="1:2" ht="15">
      <c r="A17" s="18" t="s">
        <v>51</v>
      </c>
      <c r="B17" s="18"/>
    </row>
    <row r="18" spans="1:2" ht="14.25">
      <c r="A18" s="20"/>
      <c r="B18" s="21" t="s">
        <v>96</v>
      </c>
    </row>
    <row r="19" spans="1:5" ht="15">
      <c r="A19" s="22" t="s">
        <v>43</v>
      </c>
      <c r="B19" s="22" t="s">
        <v>44</v>
      </c>
      <c r="C19" s="22" t="s">
        <v>45</v>
      </c>
      <c r="D19" s="22" t="s">
        <v>46</v>
      </c>
      <c r="E19" s="22" t="s">
        <v>551</v>
      </c>
    </row>
    <row r="20" spans="1:5" ht="12.75">
      <c r="A20" s="19" t="s">
        <v>564</v>
      </c>
      <c r="B20" s="4" t="s">
        <v>96</v>
      </c>
      <c r="C20" s="4" t="s">
        <v>97</v>
      </c>
      <c r="D20" s="4" t="s">
        <v>565</v>
      </c>
      <c r="E20" s="23" t="s">
        <v>566</v>
      </c>
    </row>
  </sheetData>
  <sheetProtection/>
  <mergeCells count="12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10.75390625" style="4" bestFit="1" customWidth="1"/>
    <col min="5" max="5" width="22.75390625" style="4" bestFit="1" customWidth="1"/>
    <col min="6" max="6" width="17.25390625" style="4" bestFit="1" customWidth="1"/>
    <col min="7" max="7" width="5.00390625" style="3" bestFit="1" customWidth="1"/>
    <col min="8" max="8" width="10.375" style="31" bestFit="1" customWidth="1"/>
    <col min="9" max="9" width="7.875" style="4" bestFit="1" customWidth="1"/>
    <col min="10" max="10" width="9.625" style="3" bestFit="1" customWidth="1"/>
    <col min="11" max="11" width="17.75390625" style="4" bestFit="1" customWidth="1"/>
    <col min="12" max="16384" width="9.125" style="3" customWidth="1"/>
  </cols>
  <sheetData>
    <row r="1" spans="1:11" s="2" customFormat="1" ht="28.5" customHeight="1">
      <c r="A1" s="50" t="s">
        <v>554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s="2" customFormat="1" ht="84.75" customHeight="1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5"/>
    </row>
    <row r="3" spans="1:11" s="1" customFormat="1" ht="15">
      <c r="A3" s="56" t="s">
        <v>0</v>
      </c>
      <c r="B3" s="58" t="s">
        <v>7</v>
      </c>
      <c r="C3" s="58" t="s">
        <v>8</v>
      </c>
      <c r="D3" s="60" t="s">
        <v>549</v>
      </c>
      <c r="E3" s="60" t="s">
        <v>5</v>
      </c>
      <c r="F3" s="60" t="s">
        <v>9</v>
      </c>
      <c r="G3" s="60" t="s">
        <v>509</v>
      </c>
      <c r="H3" s="60"/>
      <c r="I3" s="60" t="s">
        <v>510</v>
      </c>
      <c r="J3" s="60" t="s">
        <v>4</v>
      </c>
      <c r="K3" s="44" t="s">
        <v>3</v>
      </c>
    </row>
    <row r="4" spans="1:11" s="1" customFormat="1" ht="15.75" thickBot="1">
      <c r="A4" s="57"/>
      <c r="B4" s="59"/>
      <c r="C4" s="59"/>
      <c r="D4" s="59"/>
      <c r="E4" s="59"/>
      <c r="F4" s="59"/>
      <c r="G4" s="29" t="s">
        <v>511</v>
      </c>
      <c r="H4" s="30" t="s">
        <v>512</v>
      </c>
      <c r="I4" s="59"/>
      <c r="J4" s="59"/>
      <c r="K4" s="45"/>
    </row>
    <row r="5" spans="1:10" ht="15">
      <c r="A5" s="46" t="s">
        <v>127</v>
      </c>
      <c r="B5" s="47"/>
      <c r="C5" s="47"/>
      <c r="D5" s="47"/>
      <c r="E5" s="47"/>
      <c r="F5" s="47"/>
      <c r="G5" s="47"/>
      <c r="H5" s="47"/>
      <c r="I5" s="47"/>
      <c r="J5" s="47"/>
    </row>
    <row r="6" spans="1:11" ht="13.5" thickBot="1">
      <c r="A6" s="7" t="s">
        <v>129</v>
      </c>
      <c r="B6" s="7" t="s">
        <v>130</v>
      </c>
      <c r="C6" s="7" t="s">
        <v>131</v>
      </c>
      <c r="D6" s="7" t="str">
        <f>"0,9355"</f>
        <v>0,9355</v>
      </c>
      <c r="E6" s="7" t="s">
        <v>583</v>
      </c>
      <c r="F6" s="7" t="s">
        <v>83</v>
      </c>
      <c r="G6" s="9" t="s">
        <v>112</v>
      </c>
      <c r="H6" s="32" t="s">
        <v>555</v>
      </c>
      <c r="I6" s="7" t="str">
        <f>"1260,0"</f>
        <v>1260,0</v>
      </c>
      <c r="J6" s="9" t="str">
        <f>"1178,7300"</f>
        <v>1178,7300</v>
      </c>
      <c r="K6" s="7" t="s">
        <v>582</v>
      </c>
    </row>
    <row r="7" spans="1:10" ht="15">
      <c r="A7" s="46" t="s">
        <v>127</v>
      </c>
      <c r="B7" s="47"/>
      <c r="C7" s="47"/>
      <c r="D7" s="47"/>
      <c r="E7" s="47"/>
      <c r="F7" s="47"/>
      <c r="G7" s="47"/>
      <c r="H7" s="47"/>
      <c r="I7" s="47"/>
      <c r="J7" s="47"/>
    </row>
    <row r="8" spans="1:11" ht="12.75">
      <c r="A8" s="7" t="s">
        <v>639</v>
      </c>
      <c r="B8" s="7" t="s">
        <v>636</v>
      </c>
      <c r="C8" s="7" t="s">
        <v>630</v>
      </c>
      <c r="D8" s="40" t="s">
        <v>640</v>
      </c>
      <c r="E8" s="7" t="s">
        <v>638</v>
      </c>
      <c r="F8" s="7" t="s">
        <v>637</v>
      </c>
      <c r="G8" s="9" t="s">
        <v>631</v>
      </c>
      <c r="H8" s="32">
        <v>37</v>
      </c>
      <c r="I8" s="7" t="s">
        <v>634</v>
      </c>
      <c r="J8" s="41" t="s">
        <v>641</v>
      </c>
      <c r="K8" s="7" t="s">
        <v>586</v>
      </c>
    </row>
    <row r="10" spans="5:6" ht="15">
      <c r="E10" s="16" t="s">
        <v>35</v>
      </c>
      <c r="F10" s="4" t="s">
        <v>474</v>
      </c>
    </row>
    <row r="11" spans="5:6" ht="15">
      <c r="E11" s="16" t="s">
        <v>36</v>
      </c>
      <c r="F11" s="4" t="s">
        <v>475</v>
      </c>
    </row>
    <row r="12" spans="5:6" ht="15">
      <c r="E12" s="16" t="s">
        <v>37</v>
      </c>
      <c r="F12" s="4" t="s">
        <v>476</v>
      </c>
    </row>
    <row r="13" spans="5:6" ht="15">
      <c r="E13" s="16" t="s">
        <v>38</v>
      </c>
      <c r="F13" s="4" t="s">
        <v>477</v>
      </c>
    </row>
    <row r="14" spans="5:6" ht="15">
      <c r="E14" s="16" t="s">
        <v>38</v>
      </c>
      <c r="F14" s="4" t="s">
        <v>478</v>
      </c>
    </row>
    <row r="15" spans="5:6" ht="15">
      <c r="E15" s="16" t="s">
        <v>39</v>
      </c>
      <c r="F15" s="4" t="s">
        <v>479</v>
      </c>
    </row>
    <row r="16" ht="15">
      <c r="E16" s="16"/>
    </row>
    <row r="18" spans="1:2" ht="18">
      <c r="A18" s="17" t="s">
        <v>40</v>
      </c>
      <c r="B18" s="17"/>
    </row>
    <row r="19" spans="1:2" ht="15">
      <c r="A19" s="18" t="s">
        <v>41</v>
      </c>
      <c r="B19" s="18"/>
    </row>
    <row r="20" spans="1:2" ht="14.25">
      <c r="A20" s="20"/>
      <c r="B20" s="21" t="s">
        <v>56</v>
      </c>
    </row>
    <row r="21" spans="1:5" ht="15">
      <c r="A21" s="22" t="s">
        <v>43</v>
      </c>
      <c r="B21" s="22" t="s">
        <v>44</v>
      </c>
      <c r="C21" s="22" t="s">
        <v>45</v>
      </c>
      <c r="D21" s="22" t="s">
        <v>46</v>
      </c>
      <c r="E21" s="22" t="s">
        <v>551</v>
      </c>
    </row>
    <row r="22" spans="1:5" ht="12.75">
      <c r="A22" s="19" t="s">
        <v>128</v>
      </c>
      <c r="B22" s="4" t="s">
        <v>103</v>
      </c>
      <c r="C22" s="4" t="s">
        <v>19</v>
      </c>
      <c r="D22" s="4" t="s">
        <v>556</v>
      </c>
      <c r="E22" s="23" t="s">
        <v>557</v>
      </c>
    </row>
    <row r="25" spans="1:2" ht="15">
      <c r="A25" s="18" t="s">
        <v>480</v>
      </c>
      <c r="B25" s="18"/>
    </row>
    <row r="26" spans="1:2" ht="14.25">
      <c r="A26" s="20"/>
      <c r="B26" s="21" t="s">
        <v>633</v>
      </c>
    </row>
    <row r="27" spans="1:5" ht="15">
      <c r="A27" s="22" t="s">
        <v>43</v>
      </c>
      <c r="B27" s="22" t="s">
        <v>44</v>
      </c>
      <c r="C27" s="22" t="s">
        <v>45</v>
      </c>
      <c r="D27" s="22" t="s">
        <v>46</v>
      </c>
      <c r="E27" s="22" t="s">
        <v>551</v>
      </c>
    </row>
    <row r="28" spans="1:5" ht="12.75">
      <c r="A28" s="19" t="s">
        <v>632</v>
      </c>
      <c r="B28" s="4" t="s">
        <v>633</v>
      </c>
      <c r="C28" s="4" t="s">
        <v>20</v>
      </c>
      <c r="D28" s="4" t="s">
        <v>635</v>
      </c>
      <c r="E28" s="42" t="s">
        <v>641</v>
      </c>
    </row>
  </sheetData>
  <sheetProtection/>
  <mergeCells count="13">
    <mergeCell ref="A7:J7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10.75390625" style="4" bestFit="1" customWidth="1"/>
    <col min="5" max="5" width="22.75390625" style="4" bestFit="1" customWidth="1"/>
    <col min="6" max="6" width="29.00390625" style="4" bestFit="1" customWidth="1"/>
    <col min="7" max="7" width="5.00390625" style="3" bestFit="1" customWidth="1"/>
    <col min="8" max="8" width="10.375" style="31" bestFit="1" customWidth="1"/>
    <col min="9" max="9" width="7.875" style="4" bestFit="1" customWidth="1"/>
    <col min="10" max="10" width="9.625" style="3" bestFit="1" customWidth="1"/>
    <col min="11" max="11" width="15.25390625" style="4" bestFit="1" customWidth="1"/>
    <col min="12" max="16384" width="9.125" style="3" customWidth="1"/>
  </cols>
  <sheetData>
    <row r="1" spans="1:11" s="2" customFormat="1" ht="28.5" customHeight="1">
      <c r="A1" s="50" t="s">
        <v>548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s="2" customFormat="1" ht="66" customHeight="1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5"/>
    </row>
    <row r="3" spans="1:11" s="1" customFormat="1" ht="15">
      <c r="A3" s="56" t="s">
        <v>0</v>
      </c>
      <c r="B3" s="58" t="s">
        <v>7</v>
      </c>
      <c r="C3" s="58" t="s">
        <v>8</v>
      </c>
      <c r="D3" s="60" t="s">
        <v>549</v>
      </c>
      <c r="E3" s="60" t="s">
        <v>5</v>
      </c>
      <c r="F3" s="60" t="s">
        <v>9</v>
      </c>
      <c r="G3" s="60" t="s">
        <v>509</v>
      </c>
      <c r="H3" s="60"/>
      <c r="I3" s="60" t="s">
        <v>510</v>
      </c>
      <c r="J3" s="60" t="s">
        <v>4</v>
      </c>
      <c r="K3" s="44" t="s">
        <v>3</v>
      </c>
    </row>
    <row r="4" spans="1:11" s="1" customFormat="1" ht="15.75" thickBot="1">
      <c r="A4" s="57"/>
      <c r="B4" s="59"/>
      <c r="C4" s="59"/>
      <c r="D4" s="59"/>
      <c r="E4" s="59"/>
      <c r="F4" s="59"/>
      <c r="G4" s="29" t="s">
        <v>511</v>
      </c>
      <c r="H4" s="30" t="s">
        <v>512</v>
      </c>
      <c r="I4" s="59"/>
      <c r="J4" s="59"/>
      <c r="K4" s="45"/>
    </row>
    <row r="5" spans="1:10" ht="15">
      <c r="A5" s="46" t="s">
        <v>168</v>
      </c>
      <c r="B5" s="47"/>
      <c r="C5" s="47"/>
      <c r="D5" s="47"/>
      <c r="E5" s="47"/>
      <c r="F5" s="47"/>
      <c r="G5" s="47"/>
      <c r="H5" s="47"/>
      <c r="I5" s="47"/>
      <c r="J5" s="47"/>
    </row>
    <row r="6" spans="1:11" ht="12.75">
      <c r="A6" s="7" t="s">
        <v>540</v>
      </c>
      <c r="B6" s="7" t="s">
        <v>541</v>
      </c>
      <c r="C6" s="7" t="s">
        <v>542</v>
      </c>
      <c r="D6" s="7" t="str">
        <f>"0,7185"</f>
        <v>0,7185</v>
      </c>
      <c r="E6" s="7" t="s">
        <v>17</v>
      </c>
      <c r="F6" s="7" t="s">
        <v>543</v>
      </c>
      <c r="G6" s="9" t="s">
        <v>143</v>
      </c>
      <c r="H6" s="32" t="s">
        <v>550</v>
      </c>
      <c r="I6" s="7" t="str">
        <f>"1800,0"</f>
        <v>1800,0</v>
      </c>
      <c r="J6" s="9" t="str">
        <f>"1293,3000"</f>
        <v>1293,3000</v>
      </c>
      <c r="K6" s="7" t="s">
        <v>584</v>
      </c>
    </row>
    <row r="8" spans="5:6" ht="15">
      <c r="E8" s="16" t="s">
        <v>35</v>
      </c>
      <c r="F8" s="4" t="s">
        <v>474</v>
      </c>
    </row>
    <row r="9" spans="5:6" ht="15">
      <c r="E9" s="16" t="s">
        <v>36</v>
      </c>
      <c r="F9" s="4" t="s">
        <v>475</v>
      </c>
    </row>
    <row r="10" spans="5:6" ht="15">
      <c r="E10" s="16" t="s">
        <v>37</v>
      </c>
      <c r="F10" s="4" t="s">
        <v>476</v>
      </c>
    </row>
    <row r="11" spans="5:6" ht="15">
      <c r="E11" s="16" t="s">
        <v>38</v>
      </c>
      <c r="F11" s="4" t="s">
        <v>477</v>
      </c>
    </row>
    <row r="12" spans="5:6" ht="15">
      <c r="E12" s="16" t="s">
        <v>38</v>
      </c>
      <c r="F12" s="4" t="s">
        <v>478</v>
      </c>
    </row>
    <row r="13" spans="5:6" ht="15">
      <c r="E13" s="16" t="s">
        <v>39</v>
      </c>
      <c r="F13" s="4" t="s">
        <v>479</v>
      </c>
    </row>
    <row r="14" ht="15">
      <c r="E14" s="16"/>
    </row>
    <row r="16" spans="1:2" ht="18">
      <c r="A16" s="17" t="s">
        <v>40</v>
      </c>
      <c r="B16" s="17"/>
    </row>
    <row r="17" spans="1:2" ht="15">
      <c r="A17" s="18" t="s">
        <v>51</v>
      </c>
      <c r="B17" s="18"/>
    </row>
    <row r="18" spans="1:2" ht="14.25">
      <c r="A18" s="20"/>
      <c r="B18" s="21" t="s">
        <v>96</v>
      </c>
    </row>
    <row r="19" spans="1:5" ht="15">
      <c r="A19" s="22" t="s">
        <v>43</v>
      </c>
      <c r="B19" s="22" t="s">
        <v>44</v>
      </c>
      <c r="C19" s="22" t="s">
        <v>45</v>
      </c>
      <c r="D19" s="22" t="s">
        <v>46</v>
      </c>
      <c r="E19" s="22" t="s">
        <v>551</v>
      </c>
    </row>
    <row r="20" spans="1:5" ht="12.75">
      <c r="A20" s="19" t="s">
        <v>545</v>
      </c>
      <c r="B20" s="4" t="s">
        <v>96</v>
      </c>
      <c r="C20" s="4" t="s">
        <v>143</v>
      </c>
      <c r="D20" s="4" t="s">
        <v>552</v>
      </c>
      <c r="E20" s="23" t="s">
        <v>553</v>
      </c>
    </row>
  </sheetData>
  <sheetProtection/>
  <mergeCells count="12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4" width="10.625" style="4" bestFit="1" customWidth="1"/>
    <col min="5" max="5" width="22.75390625" style="4" bestFit="1" customWidth="1"/>
    <col min="6" max="6" width="29.00390625" style="4" bestFit="1" customWidth="1"/>
    <col min="7" max="7" width="5.625" style="3" bestFit="1" customWidth="1"/>
    <col min="8" max="8" width="10.375" style="31" bestFit="1" customWidth="1"/>
    <col min="9" max="9" width="7.875" style="4" bestFit="1" customWidth="1"/>
    <col min="10" max="10" width="7.625" style="3" bestFit="1" customWidth="1"/>
    <col min="11" max="11" width="15.25390625" style="4" bestFit="1" customWidth="1"/>
    <col min="12" max="16384" width="9.125" style="3" customWidth="1"/>
  </cols>
  <sheetData>
    <row r="1" spans="1:11" s="2" customFormat="1" ht="28.5" customHeight="1">
      <c r="A1" s="50" t="s">
        <v>539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s="2" customFormat="1" ht="26.25" customHeight="1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5"/>
    </row>
    <row r="3" spans="1:11" s="1" customFormat="1" ht="15">
      <c r="A3" s="56" t="s">
        <v>0</v>
      </c>
      <c r="B3" s="58" t="s">
        <v>7</v>
      </c>
      <c r="C3" s="58" t="s">
        <v>8</v>
      </c>
      <c r="D3" s="60" t="s">
        <v>508</v>
      </c>
      <c r="E3" s="60" t="s">
        <v>5</v>
      </c>
      <c r="F3" s="60" t="s">
        <v>9</v>
      </c>
      <c r="G3" s="60" t="s">
        <v>509</v>
      </c>
      <c r="H3" s="60"/>
      <c r="I3" s="60" t="s">
        <v>510</v>
      </c>
      <c r="J3" s="60" t="s">
        <v>4</v>
      </c>
      <c r="K3" s="44" t="s">
        <v>3</v>
      </c>
    </row>
    <row r="4" spans="1:11" s="1" customFormat="1" ht="15.75" thickBot="1">
      <c r="A4" s="57"/>
      <c r="B4" s="59"/>
      <c r="C4" s="59"/>
      <c r="D4" s="59"/>
      <c r="E4" s="59"/>
      <c r="F4" s="59"/>
      <c r="G4" s="28" t="s">
        <v>511</v>
      </c>
      <c r="H4" s="30" t="s">
        <v>512</v>
      </c>
      <c r="I4" s="59"/>
      <c r="J4" s="59"/>
      <c r="K4" s="45"/>
    </row>
    <row r="5" spans="1:10" ht="15">
      <c r="A5" s="46" t="s">
        <v>513</v>
      </c>
      <c r="B5" s="47"/>
      <c r="C5" s="47"/>
      <c r="D5" s="47"/>
      <c r="E5" s="47"/>
      <c r="F5" s="47"/>
      <c r="G5" s="47"/>
      <c r="H5" s="47"/>
      <c r="I5" s="47"/>
      <c r="J5" s="47"/>
    </row>
    <row r="6" spans="1:11" ht="12.75">
      <c r="A6" s="7" t="s">
        <v>540</v>
      </c>
      <c r="B6" s="7" t="s">
        <v>541</v>
      </c>
      <c r="C6" s="7" t="s">
        <v>542</v>
      </c>
      <c r="D6" s="7" t="str">
        <f>"1,0000"</f>
        <v>1,0000</v>
      </c>
      <c r="E6" s="7" t="s">
        <v>17</v>
      </c>
      <c r="F6" s="7" t="s">
        <v>543</v>
      </c>
      <c r="G6" s="9" t="s">
        <v>33</v>
      </c>
      <c r="H6" s="32" t="s">
        <v>544</v>
      </c>
      <c r="I6" s="7" t="str">
        <f>"1500,0"</f>
        <v>1500,0</v>
      </c>
      <c r="J6" s="9" t="str">
        <f>"16,7785"</f>
        <v>16,7785</v>
      </c>
      <c r="K6" s="7" t="s">
        <v>584</v>
      </c>
    </row>
    <row r="8" spans="5:6" ht="15">
      <c r="E8" s="16" t="s">
        <v>35</v>
      </c>
      <c r="F8" s="4" t="s">
        <v>474</v>
      </c>
    </row>
    <row r="9" spans="5:6" ht="15">
      <c r="E9" s="16" t="s">
        <v>36</v>
      </c>
      <c r="F9" s="4" t="s">
        <v>475</v>
      </c>
    </row>
    <row r="10" spans="5:6" ht="15">
      <c r="E10" s="16" t="s">
        <v>37</v>
      </c>
      <c r="F10" s="4" t="s">
        <v>476</v>
      </c>
    </row>
    <row r="11" spans="5:6" ht="15">
      <c r="E11" s="16" t="s">
        <v>38</v>
      </c>
      <c r="F11" s="4" t="s">
        <v>477</v>
      </c>
    </row>
    <row r="12" spans="5:6" ht="15">
      <c r="E12" s="16" t="s">
        <v>38</v>
      </c>
      <c r="F12" s="4" t="s">
        <v>478</v>
      </c>
    </row>
    <row r="13" spans="5:6" ht="15">
      <c r="E13" s="16" t="s">
        <v>39</v>
      </c>
      <c r="F13" s="4" t="s">
        <v>479</v>
      </c>
    </row>
    <row r="14" ht="15">
      <c r="E14" s="16"/>
    </row>
    <row r="16" spans="1:2" ht="18">
      <c r="A16" s="17" t="s">
        <v>40</v>
      </c>
      <c r="B16" s="17"/>
    </row>
    <row r="17" spans="1:2" ht="15">
      <c r="A17" s="18" t="s">
        <v>51</v>
      </c>
      <c r="B17" s="18"/>
    </row>
    <row r="18" spans="1:2" ht="14.25">
      <c r="A18" s="20"/>
      <c r="B18" s="21" t="s">
        <v>96</v>
      </c>
    </row>
    <row r="19" spans="1:5" ht="15">
      <c r="A19" s="22" t="s">
        <v>43</v>
      </c>
      <c r="B19" s="22" t="s">
        <v>44</v>
      </c>
      <c r="C19" s="22" t="s">
        <v>45</v>
      </c>
      <c r="D19" s="22" t="s">
        <v>46</v>
      </c>
      <c r="E19" s="22" t="s">
        <v>521</v>
      </c>
    </row>
    <row r="20" spans="1:5" ht="12.75">
      <c r="A20" s="19" t="s">
        <v>545</v>
      </c>
      <c r="B20" s="4" t="s">
        <v>96</v>
      </c>
      <c r="C20" s="4" t="s">
        <v>524</v>
      </c>
      <c r="D20" s="4" t="s">
        <v>546</v>
      </c>
      <c r="E20" s="23" t="s">
        <v>547</v>
      </c>
    </row>
  </sheetData>
  <sheetProtection/>
  <mergeCells count="12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1" width="26.00390625" style="4" bestFit="1" customWidth="1"/>
    <col min="2" max="2" width="28.375" style="4" bestFit="1" customWidth="1"/>
    <col min="3" max="4" width="10.625" style="4" bestFit="1" customWidth="1"/>
    <col min="5" max="5" width="22.75390625" style="4" bestFit="1" customWidth="1"/>
    <col min="6" max="6" width="21.875" style="4" bestFit="1" customWidth="1"/>
    <col min="7" max="7" width="5.00390625" style="3" bestFit="1" customWidth="1"/>
    <col min="8" max="8" width="10.375" style="31" bestFit="1" customWidth="1"/>
    <col min="9" max="9" width="7.875" style="4" bestFit="1" customWidth="1"/>
    <col min="10" max="10" width="7.625" style="3" bestFit="1" customWidth="1"/>
    <col min="11" max="11" width="13.625" style="4" bestFit="1" customWidth="1"/>
    <col min="12" max="16384" width="9.125" style="3" customWidth="1"/>
  </cols>
  <sheetData>
    <row r="1" spans="1:11" s="2" customFormat="1" ht="28.5" customHeight="1">
      <c r="A1" s="50" t="s">
        <v>530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s="2" customFormat="1" ht="55.5" customHeight="1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5"/>
    </row>
    <row r="3" spans="1:11" s="1" customFormat="1" ht="15">
      <c r="A3" s="56" t="s">
        <v>0</v>
      </c>
      <c r="B3" s="58" t="s">
        <v>7</v>
      </c>
      <c r="C3" s="58" t="s">
        <v>8</v>
      </c>
      <c r="D3" s="60" t="s">
        <v>508</v>
      </c>
      <c r="E3" s="60" t="s">
        <v>5</v>
      </c>
      <c r="F3" s="60" t="s">
        <v>9</v>
      </c>
      <c r="G3" s="60" t="s">
        <v>509</v>
      </c>
      <c r="H3" s="60"/>
      <c r="I3" s="60" t="s">
        <v>510</v>
      </c>
      <c r="J3" s="60" t="s">
        <v>4</v>
      </c>
      <c r="K3" s="44" t="s">
        <v>3</v>
      </c>
    </row>
    <row r="4" spans="1:11" s="1" customFormat="1" ht="15.75" thickBot="1">
      <c r="A4" s="57"/>
      <c r="B4" s="59"/>
      <c r="C4" s="59"/>
      <c r="D4" s="59"/>
      <c r="E4" s="59"/>
      <c r="F4" s="59"/>
      <c r="G4" s="28" t="s">
        <v>511</v>
      </c>
      <c r="H4" s="30" t="s">
        <v>512</v>
      </c>
      <c r="I4" s="59"/>
      <c r="J4" s="59"/>
      <c r="K4" s="45"/>
    </row>
    <row r="5" spans="1:10" ht="15">
      <c r="A5" s="46" t="s">
        <v>513</v>
      </c>
      <c r="B5" s="47"/>
      <c r="C5" s="47"/>
      <c r="D5" s="47"/>
      <c r="E5" s="47"/>
      <c r="F5" s="47"/>
      <c r="G5" s="47"/>
      <c r="H5" s="47"/>
      <c r="I5" s="47"/>
      <c r="J5" s="47"/>
    </row>
    <row r="6" spans="1:11" ht="12.75">
      <c r="A6" s="7" t="s">
        <v>531</v>
      </c>
      <c r="B6" s="7" t="s">
        <v>532</v>
      </c>
      <c r="C6" s="7" t="s">
        <v>533</v>
      </c>
      <c r="D6" s="7" t="str">
        <f>"1,0000"</f>
        <v>1,0000</v>
      </c>
      <c r="E6" s="7" t="s">
        <v>111</v>
      </c>
      <c r="F6" s="7" t="s">
        <v>18</v>
      </c>
      <c r="G6" s="9" t="s">
        <v>126</v>
      </c>
      <c r="H6" s="32" t="s">
        <v>534</v>
      </c>
      <c r="I6" s="7" t="str">
        <f>"2145,0"</f>
        <v>2145,0</v>
      </c>
      <c r="J6" s="9" t="str">
        <f>"27,2900"</f>
        <v>27,2900</v>
      </c>
      <c r="K6" s="7" t="s">
        <v>535</v>
      </c>
    </row>
    <row r="8" spans="5:6" ht="15">
      <c r="E8" s="16" t="s">
        <v>35</v>
      </c>
      <c r="F8" s="4" t="s">
        <v>474</v>
      </c>
    </row>
    <row r="9" spans="5:6" ht="15">
      <c r="E9" s="16" t="s">
        <v>36</v>
      </c>
      <c r="F9" s="4" t="s">
        <v>475</v>
      </c>
    </row>
    <row r="10" spans="5:6" ht="15">
      <c r="E10" s="16" t="s">
        <v>37</v>
      </c>
      <c r="F10" s="4" t="s">
        <v>476</v>
      </c>
    </row>
    <row r="11" spans="5:6" ht="15">
      <c r="E11" s="16" t="s">
        <v>38</v>
      </c>
      <c r="F11" s="4" t="s">
        <v>477</v>
      </c>
    </row>
    <row r="12" spans="5:6" ht="15">
      <c r="E12" s="16" t="s">
        <v>38</v>
      </c>
      <c r="F12" s="4" t="s">
        <v>478</v>
      </c>
    </row>
    <row r="13" spans="5:6" ht="15">
      <c r="E13" s="16" t="s">
        <v>39</v>
      </c>
      <c r="F13" s="4" t="s">
        <v>479</v>
      </c>
    </row>
    <row r="14" ht="15">
      <c r="E14" s="16"/>
    </row>
    <row r="16" spans="1:2" ht="18">
      <c r="A16" s="17" t="s">
        <v>40</v>
      </c>
      <c r="B16" s="17"/>
    </row>
    <row r="17" spans="1:2" ht="15">
      <c r="A17" s="18" t="s">
        <v>51</v>
      </c>
      <c r="B17" s="18"/>
    </row>
    <row r="18" spans="1:2" ht="14.25">
      <c r="A18" s="20"/>
      <c r="B18" s="21" t="s">
        <v>52</v>
      </c>
    </row>
    <row r="19" spans="1:5" ht="15">
      <c r="A19" s="22" t="s">
        <v>43</v>
      </c>
      <c r="B19" s="22" t="s">
        <v>44</v>
      </c>
      <c r="C19" s="22" t="s">
        <v>45</v>
      </c>
      <c r="D19" s="22" t="s">
        <v>46</v>
      </c>
      <c r="E19" s="22" t="s">
        <v>521</v>
      </c>
    </row>
    <row r="20" spans="1:5" ht="12.75">
      <c r="A20" s="19" t="s">
        <v>536</v>
      </c>
      <c r="B20" s="4" t="s">
        <v>53</v>
      </c>
      <c r="C20" s="4" t="s">
        <v>524</v>
      </c>
      <c r="D20" s="4" t="s">
        <v>537</v>
      </c>
      <c r="E20" s="23" t="s">
        <v>538</v>
      </c>
    </row>
  </sheetData>
  <sheetProtection/>
  <mergeCells count="12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L7" sqref="L7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4" width="10.625" style="4" bestFit="1" customWidth="1"/>
    <col min="5" max="5" width="22.75390625" style="4" bestFit="1" customWidth="1"/>
    <col min="6" max="6" width="30.875" style="4" bestFit="1" customWidth="1"/>
    <col min="7" max="7" width="5.00390625" style="3" bestFit="1" customWidth="1"/>
    <col min="8" max="8" width="10.375" style="31" bestFit="1" customWidth="1"/>
    <col min="9" max="9" width="7.875" style="4" bestFit="1" customWidth="1"/>
    <col min="10" max="10" width="7.625" style="3" bestFit="1" customWidth="1"/>
    <col min="11" max="11" width="15.75390625" style="4" bestFit="1" customWidth="1"/>
    <col min="12" max="16384" width="9.125" style="3" customWidth="1"/>
  </cols>
  <sheetData>
    <row r="1" spans="1:11" s="2" customFormat="1" ht="28.5" customHeight="1">
      <c r="A1" s="50" t="s">
        <v>507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s="2" customFormat="1" ht="63.75" customHeight="1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5"/>
    </row>
    <row r="3" spans="1:11" s="1" customFormat="1" ht="15">
      <c r="A3" s="56" t="s">
        <v>0</v>
      </c>
      <c r="B3" s="58" t="s">
        <v>7</v>
      </c>
      <c r="C3" s="58" t="s">
        <v>8</v>
      </c>
      <c r="D3" s="60" t="s">
        <v>508</v>
      </c>
      <c r="E3" s="60" t="s">
        <v>5</v>
      </c>
      <c r="F3" s="60" t="s">
        <v>9</v>
      </c>
      <c r="G3" s="60" t="s">
        <v>509</v>
      </c>
      <c r="H3" s="60"/>
      <c r="I3" s="60" t="s">
        <v>510</v>
      </c>
      <c r="J3" s="60" t="s">
        <v>4</v>
      </c>
      <c r="K3" s="44" t="s">
        <v>3</v>
      </c>
    </row>
    <row r="4" spans="1:11" s="1" customFormat="1" ht="15.75" thickBot="1">
      <c r="A4" s="57"/>
      <c r="B4" s="59"/>
      <c r="C4" s="59"/>
      <c r="D4" s="59"/>
      <c r="E4" s="59"/>
      <c r="F4" s="59"/>
      <c r="G4" s="28" t="s">
        <v>511</v>
      </c>
      <c r="H4" s="30" t="s">
        <v>512</v>
      </c>
      <c r="I4" s="59"/>
      <c r="J4" s="59"/>
      <c r="K4" s="45"/>
    </row>
    <row r="5" spans="1:10" ht="15">
      <c r="A5" s="46" t="s">
        <v>513</v>
      </c>
      <c r="B5" s="47"/>
      <c r="C5" s="47"/>
      <c r="D5" s="47"/>
      <c r="E5" s="47"/>
      <c r="F5" s="47"/>
      <c r="G5" s="47"/>
      <c r="H5" s="47"/>
      <c r="I5" s="47"/>
      <c r="J5" s="47"/>
    </row>
    <row r="6" spans="1:11" ht="12.75">
      <c r="A6" s="10" t="s">
        <v>514</v>
      </c>
      <c r="B6" s="10" t="s">
        <v>515</v>
      </c>
      <c r="C6" s="10" t="s">
        <v>516</v>
      </c>
      <c r="D6" s="10" t="str">
        <f>"1,0000"</f>
        <v>1,0000</v>
      </c>
      <c r="E6" s="10" t="s">
        <v>75</v>
      </c>
      <c r="F6" s="10" t="s">
        <v>76</v>
      </c>
      <c r="G6" s="12" t="s">
        <v>97</v>
      </c>
      <c r="H6" s="33" t="s">
        <v>517</v>
      </c>
      <c r="I6" s="10" t="str">
        <f>"1875,0"</f>
        <v>1875,0</v>
      </c>
      <c r="J6" s="12" t="str">
        <f>"23,5849"</f>
        <v>23,5849</v>
      </c>
      <c r="K6" s="10" t="s">
        <v>585</v>
      </c>
    </row>
    <row r="7" spans="1:11" ht="12.75">
      <c r="A7" s="13" t="s">
        <v>518</v>
      </c>
      <c r="B7" s="13" t="s">
        <v>519</v>
      </c>
      <c r="C7" s="13" t="s">
        <v>163</v>
      </c>
      <c r="D7" s="13" t="str">
        <f>"1,0000"</f>
        <v>1,0000</v>
      </c>
      <c r="E7" s="13" t="s">
        <v>17</v>
      </c>
      <c r="F7" s="13" t="s">
        <v>18</v>
      </c>
      <c r="G7" s="15" t="s">
        <v>97</v>
      </c>
      <c r="H7" s="34" t="s">
        <v>520</v>
      </c>
      <c r="I7" s="13" t="str">
        <f>"1425,0"</f>
        <v>1425,0</v>
      </c>
      <c r="J7" s="15" t="str">
        <f>"18,1992"</f>
        <v>18,1992</v>
      </c>
      <c r="K7" s="13" t="s">
        <v>586</v>
      </c>
    </row>
    <row r="9" spans="5:6" ht="15">
      <c r="E9" s="16" t="s">
        <v>35</v>
      </c>
      <c r="F9" s="4" t="s">
        <v>474</v>
      </c>
    </row>
    <row r="10" spans="5:6" ht="15">
      <c r="E10" s="16" t="s">
        <v>36</v>
      </c>
      <c r="F10" s="4" t="s">
        <v>475</v>
      </c>
    </row>
    <row r="11" spans="5:6" ht="15">
      <c r="E11" s="16" t="s">
        <v>37</v>
      </c>
      <c r="F11" s="4" t="s">
        <v>476</v>
      </c>
    </row>
    <row r="12" spans="5:6" ht="15">
      <c r="E12" s="16" t="s">
        <v>38</v>
      </c>
      <c r="F12" s="4" t="s">
        <v>477</v>
      </c>
    </row>
    <row r="13" spans="5:6" ht="15">
      <c r="E13" s="16" t="s">
        <v>38</v>
      </c>
      <c r="F13" s="4" t="s">
        <v>478</v>
      </c>
    </row>
    <row r="14" spans="5:6" ht="15">
      <c r="E14" s="16" t="s">
        <v>39</v>
      </c>
      <c r="F14" s="4" t="s">
        <v>479</v>
      </c>
    </row>
    <row r="15" ht="15">
      <c r="E15" s="16"/>
    </row>
    <row r="17" spans="1:2" ht="18">
      <c r="A17" s="17" t="s">
        <v>40</v>
      </c>
      <c r="B17" s="17"/>
    </row>
    <row r="18" spans="1:2" ht="15">
      <c r="A18" s="18" t="s">
        <v>51</v>
      </c>
      <c r="B18" s="18"/>
    </row>
    <row r="19" spans="1:2" ht="14.25">
      <c r="A19" s="20"/>
      <c r="B19" s="21" t="s">
        <v>56</v>
      </c>
    </row>
    <row r="20" spans="1:5" ht="15">
      <c r="A20" s="22" t="s">
        <v>43</v>
      </c>
      <c r="B20" s="22" t="s">
        <v>44</v>
      </c>
      <c r="C20" s="22" t="s">
        <v>45</v>
      </c>
      <c r="D20" s="22" t="s">
        <v>46</v>
      </c>
      <c r="E20" s="22" t="s">
        <v>521</v>
      </c>
    </row>
    <row r="21" spans="1:5" ht="12.75">
      <c r="A21" s="19" t="s">
        <v>522</v>
      </c>
      <c r="B21" s="4" t="s">
        <v>523</v>
      </c>
      <c r="C21" s="4" t="s">
        <v>524</v>
      </c>
      <c r="D21" s="4" t="s">
        <v>525</v>
      </c>
      <c r="E21" s="23" t="s">
        <v>526</v>
      </c>
    </row>
    <row r="22" spans="1:5" ht="12.75">
      <c r="A22" s="19" t="s">
        <v>527</v>
      </c>
      <c r="B22" s="4" t="s">
        <v>523</v>
      </c>
      <c r="C22" s="4" t="s">
        <v>524</v>
      </c>
      <c r="D22" s="4" t="s">
        <v>528</v>
      </c>
      <c r="E22" s="23" t="s">
        <v>529</v>
      </c>
    </row>
  </sheetData>
  <sheetProtection/>
  <mergeCells count="12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Андрей</cp:lastModifiedBy>
  <cp:lastPrinted>2015-07-16T19:10:53Z</cp:lastPrinted>
  <dcterms:created xsi:type="dcterms:W3CDTF">2002-06-16T13:36:44Z</dcterms:created>
  <dcterms:modified xsi:type="dcterms:W3CDTF">2018-08-09T06:16:25Z</dcterms:modified>
  <cp:category/>
  <cp:version/>
  <cp:contentType/>
  <cp:contentStatus/>
</cp:coreProperties>
</file>